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Importi në sasi&amp;vlerë W" sheetId="1" r:id="rId1"/>
    <sheet name="Importi sipas vendeve në vlerë" sheetId="2" r:id="rId2"/>
    <sheet name="Importi sipas vendeve në sasi W" sheetId="3" r:id="rId3"/>
    <sheet name="Struktura importit 2014" sheetId="4" r:id="rId4"/>
    <sheet name="Çmimi i blerjes në import W" sheetId="5" r:id="rId5"/>
  </sheets>
  <definedNames/>
  <calcPr fullCalcOnLoad="1"/>
</workbook>
</file>

<file path=xl/sharedStrings.xml><?xml version="1.0" encoding="utf-8"?>
<sst xmlns="http://schemas.openxmlformats.org/spreadsheetml/2006/main" count="132" uniqueCount="55">
  <si>
    <t>Brazil</t>
  </si>
  <si>
    <t>Kazakistan</t>
  </si>
  <si>
    <t>Malta</t>
  </si>
  <si>
    <t>Rumania</t>
  </si>
  <si>
    <t>Serbia</t>
  </si>
  <si>
    <t>(Në ton)</t>
  </si>
  <si>
    <t>(Në 000 Lek)</t>
  </si>
  <si>
    <t>(000 Lek/Ton)</t>
  </si>
  <si>
    <t>(2001: 1 USD=143.43 Lek; 2002: 1 USD=140.15 Lek; 2003: 1 USD=121.86 Lek; 2004: 1 USD=102.77 Lek; 2005: 1 USD=99.87 Lek; 2006: 1 USD=98.1 Lek; 2007: 1 USD=90.43 Lek; 2008: 1 USD=83.89 Lek; 2009: 1 USD=94.97 Lek; 2010: 1 USD=103.93 Lek; 2011: 1 USD=100.89 Lek; 2012: 1 USD=108.18 Lek; 2013: 1 USD=105.53 Lek; 2014: 1 USD=105.48 Lek)</t>
  </si>
  <si>
    <t>Imports of wheat and wheat-rye mixture  during 2001-2014 (In ton)</t>
  </si>
  <si>
    <t>Imports of wheat  and wheat-rye mixture in years 2001-2014 (In 000 Lek)</t>
  </si>
  <si>
    <t>wheat  and wheat-rye mixture</t>
  </si>
  <si>
    <t>Import of wheat Import and wheat-rye mixture</t>
  </si>
  <si>
    <t>(In Ton)</t>
  </si>
  <si>
    <t>(In 000 Lek)</t>
  </si>
  <si>
    <t>Source: International Trade Centre   (http://www.intracen.org/itc/market-info-tools/trade-statistics/)</t>
  </si>
  <si>
    <t>Comments and analyses: Open Data Albania</t>
  </si>
  <si>
    <t>Argentina</t>
  </si>
  <si>
    <t>Bosnia-Herzegovina</t>
  </si>
  <si>
    <t>Bulgaria</t>
  </si>
  <si>
    <t>Great Britain</t>
  </si>
  <si>
    <t>Uruguay</t>
  </si>
  <si>
    <t>Czech Republic</t>
  </si>
  <si>
    <t>Germany</t>
  </si>
  <si>
    <t>Greece</t>
  </si>
  <si>
    <t>Hungary</t>
  </si>
  <si>
    <t>Iraq</t>
  </si>
  <si>
    <t>Italy</t>
  </si>
  <si>
    <t>Macedonia</t>
  </si>
  <si>
    <t>Paraguay</t>
  </si>
  <si>
    <t>Moldova</t>
  </si>
  <si>
    <t>Romania</t>
  </si>
  <si>
    <t>Serbia and Montenegro</t>
  </si>
  <si>
    <t>Slovakia</t>
  </si>
  <si>
    <t>Spain</t>
  </si>
  <si>
    <t>Switzerland</t>
  </si>
  <si>
    <t>Turkey</t>
  </si>
  <si>
    <t>Total</t>
  </si>
  <si>
    <t>Comments anad Analyses: Open data Albania</t>
  </si>
  <si>
    <t>Imports of wheat and wheat-rye mixture  by purchasing countries during 2001-2014 (Në 000 lek)</t>
  </si>
  <si>
    <t>Imports of wheat and wheat-rye mixture  by purchasing countries during  2001-2014 (In ton)</t>
  </si>
  <si>
    <t>In ton)</t>
  </si>
  <si>
    <t>United States of America</t>
  </si>
  <si>
    <t>Croatia</t>
  </si>
  <si>
    <t>France</t>
  </si>
  <si>
    <t>Ukraine</t>
  </si>
  <si>
    <t>Russia</t>
  </si>
  <si>
    <t xml:space="preserve">Total </t>
  </si>
  <si>
    <t>Comments and Analyses: Open Data Albania</t>
  </si>
  <si>
    <t>The annual average rate obtained from the Bank of Albania is used for the conversion of values from USD in Lek (http://www.bankofalbania.org/web/Arkiva_e_kursit_te_kembimit_2372_1.php)</t>
  </si>
  <si>
    <t>Imports of wheat and wheat-rye mixture structure by countries of origin, 2014 (In ton)</t>
  </si>
  <si>
    <t>The average purchasig price of  wheat and wheat-rye mixture during years vitet 2001-2014</t>
  </si>
  <si>
    <t xml:space="preserve"> wheat and wheat-rye mixture</t>
  </si>
  <si>
    <t>The average purchasig price of  wheat and wheat-rye mixture by purchasing countries 2001-2014</t>
  </si>
  <si>
    <t>Hungaria</t>
  </si>
</sst>
</file>

<file path=xl/styles.xml><?xml version="1.0" encoding="utf-8"?>
<styleSheet xmlns="http://schemas.openxmlformats.org/spreadsheetml/2006/main">
  <numFmts count="25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yyyy\-mm\-dd"/>
    <numFmt numFmtId="175" formatCode="[$-41C]h:mm:ss\.AM/PM"/>
    <numFmt numFmtId="176" formatCode="#,##0.00&quot;Lek&quot;"/>
    <numFmt numFmtId="177" formatCode="#,##0.0&quot;Lek&quot;"/>
    <numFmt numFmtId="178" formatCode="#,##0&quot;Lek&quot;"/>
    <numFmt numFmtId="179" formatCode="#,##0_L_e_k"/>
    <numFmt numFmtId="18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42" applyNumberFormat="1" applyFont="1" applyBorder="1" applyAlignment="1">
      <alignment/>
    </xf>
    <xf numFmtId="0" fontId="0" fillId="0" borderId="18" xfId="4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30" xfId="0" applyNumberFormat="1" applyBorder="1" applyAlignment="1">
      <alignment/>
    </xf>
    <xf numFmtId="172" fontId="0" fillId="0" borderId="2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9" fontId="0" fillId="0" borderId="18" xfId="42" applyNumberFormat="1" applyFont="1" applyBorder="1" applyAlignment="1">
      <alignment/>
    </xf>
    <xf numFmtId="169" fontId="0" fillId="0" borderId="17" xfId="42" applyNumberFormat="1" applyFont="1" applyBorder="1" applyAlignment="1">
      <alignment horizontal="right"/>
    </xf>
    <xf numFmtId="169" fontId="0" fillId="0" borderId="0" xfId="42" applyNumberFormat="1" applyFont="1" applyBorder="1" applyAlignment="1">
      <alignment horizontal="right"/>
    </xf>
    <xf numFmtId="169" fontId="0" fillId="0" borderId="0" xfId="42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34" xfId="0" applyFill="1" applyBorder="1" applyAlignment="1">
      <alignment/>
    </xf>
    <xf numFmtId="0" fontId="0" fillId="0" borderId="35" xfId="42" applyNumberFormat="1" applyFont="1" applyBorder="1" applyAlignment="1">
      <alignment/>
    </xf>
    <xf numFmtId="169" fontId="0" fillId="0" borderId="35" xfId="42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Border="1" applyAlignment="1">
      <alignment/>
    </xf>
    <xf numFmtId="0" fontId="45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45" xfId="0" applyBorder="1" applyAlignment="1">
      <alignment/>
    </xf>
    <xf numFmtId="2" fontId="0" fillId="0" borderId="40" xfId="0" applyNumberFormat="1" applyBorder="1" applyAlignment="1">
      <alignment/>
    </xf>
    <xf numFmtId="0" fontId="45" fillId="0" borderId="34" xfId="0" applyFont="1" applyBorder="1" applyAlignment="1">
      <alignment/>
    </xf>
    <xf numFmtId="179" fontId="0" fillId="0" borderId="46" xfId="0" applyNumberFormat="1" applyBorder="1" applyAlignment="1">
      <alignment horizontal="right"/>
    </xf>
    <xf numFmtId="179" fontId="0" fillId="0" borderId="47" xfId="0" applyNumberFormat="1" applyBorder="1" applyAlignment="1">
      <alignment horizontal="right"/>
    </xf>
    <xf numFmtId="179" fontId="0" fillId="0" borderId="48" xfId="0" applyNumberFormat="1" applyBorder="1" applyAlignment="1">
      <alignment horizontal="right"/>
    </xf>
    <xf numFmtId="179" fontId="45" fillId="0" borderId="49" xfId="0" applyNumberFormat="1" applyFont="1" applyBorder="1" applyAlignment="1">
      <alignment horizontal="right"/>
    </xf>
    <xf numFmtId="179" fontId="0" fillId="0" borderId="50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4" fillId="0" borderId="36" xfId="0" applyNumberFormat="1" applyFont="1" applyBorder="1" applyAlignment="1">
      <alignment horizontal="right"/>
    </xf>
    <xf numFmtId="179" fontId="45" fillId="0" borderId="41" xfId="0" applyNumberFormat="1" applyFont="1" applyBorder="1" applyAlignment="1">
      <alignment horizontal="right"/>
    </xf>
    <xf numFmtId="179" fontId="2" fillId="0" borderId="36" xfId="0" applyNumberFormat="1" applyFont="1" applyBorder="1" applyAlignment="1">
      <alignment horizontal="right"/>
    </xf>
    <xf numFmtId="179" fontId="4" fillId="0" borderId="32" xfId="0" applyNumberFormat="1" applyFont="1" applyBorder="1" applyAlignment="1">
      <alignment horizontal="right"/>
    </xf>
    <xf numFmtId="179" fontId="0" fillId="0" borderId="51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4" fillId="0" borderId="31" xfId="0" applyNumberFormat="1" applyFont="1" applyBorder="1" applyAlignment="1">
      <alignment horizontal="right"/>
    </xf>
    <xf numFmtId="179" fontId="4" fillId="0" borderId="37" xfId="0" applyNumberFormat="1" applyFont="1" applyBorder="1" applyAlignment="1">
      <alignment horizontal="right"/>
    </xf>
    <xf numFmtId="179" fontId="0" fillId="0" borderId="12" xfId="0" applyNumberFormat="1" applyBorder="1" applyAlignment="1">
      <alignment horizontal="right"/>
    </xf>
    <xf numFmtId="179" fontId="0" fillId="0" borderId="24" xfId="0" applyNumberFormat="1" applyBorder="1" applyAlignment="1">
      <alignment horizontal="right"/>
    </xf>
    <xf numFmtId="179" fontId="4" fillId="0" borderId="24" xfId="0" applyNumberFormat="1" applyFont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9" fontId="4" fillId="0" borderId="27" xfId="0" applyNumberFormat="1" applyFont="1" applyBorder="1" applyAlignment="1">
      <alignment horizontal="right"/>
    </xf>
    <xf numFmtId="0" fontId="45" fillId="0" borderId="34" xfId="0" applyFont="1" applyFill="1" applyBorder="1" applyAlignment="1">
      <alignment/>
    </xf>
    <xf numFmtId="179" fontId="45" fillId="33" borderId="41" xfId="0" applyNumberFormat="1" applyFont="1" applyFill="1" applyBorder="1" applyAlignment="1">
      <alignment horizontal="right" wrapText="1"/>
    </xf>
    <xf numFmtId="179" fontId="45" fillId="34" borderId="41" xfId="0" applyNumberFormat="1" applyFont="1" applyFill="1" applyBorder="1" applyAlignment="1">
      <alignment horizontal="right" wrapText="1"/>
    </xf>
    <xf numFmtId="179" fontId="45" fillId="0" borderId="52" xfId="0" applyNumberFormat="1" applyFont="1" applyBorder="1" applyAlignment="1">
      <alignment horizontal="right"/>
    </xf>
    <xf numFmtId="179" fontId="45" fillId="0" borderId="12" xfId="0" applyNumberFormat="1" applyFont="1" applyBorder="1" applyAlignment="1">
      <alignment horizontal="right"/>
    </xf>
    <xf numFmtId="0" fontId="45" fillId="0" borderId="53" xfId="0" applyFont="1" applyBorder="1" applyAlignment="1">
      <alignment/>
    </xf>
    <xf numFmtId="0" fontId="45" fillId="0" borderId="41" xfId="0" applyFont="1" applyBorder="1" applyAlignment="1">
      <alignment/>
    </xf>
    <xf numFmtId="0" fontId="45" fillId="33" borderId="54" xfId="0" applyFont="1" applyFill="1" applyBorder="1" applyAlignment="1">
      <alignment horizontal="right" wrapText="1"/>
    </xf>
    <xf numFmtId="0" fontId="46" fillId="0" borderId="41" xfId="0" applyFont="1" applyBorder="1" applyAlignment="1">
      <alignment/>
    </xf>
    <xf numFmtId="0" fontId="45" fillId="34" borderId="54" xfId="0" applyFont="1" applyFill="1" applyBorder="1" applyAlignment="1">
      <alignment horizontal="right" wrapText="1"/>
    </xf>
    <xf numFmtId="0" fontId="46" fillId="0" borderId="52" xfId="0" applyFont="1" applyBorder="1" applyAlignment="1">
      <alignment/>
    </xf>
    <xf numFmtId="0" fontId="45" fillId="0" borderId="55" xfId="0" applyFont="1" applyBorder="1" applyAlignment="1">
      <alignment/>
    </xf>
    <xf numFmtId="0" fontId="45" fillId="0" borderId="56" xfId="0" applyFont="1" applyFill="1" applyBorder="1" applyAlignment="1">
      <alignment/>
    </xf>
    <xf numFmtId="0" fontId="0" fillId="35" borderId="21" xfId="0" applyFill="1" applyBorder="1" applyAlignment="1">
      <alignment/>
    </xf>
    <xf numFmtId="2" fontId="0" fillId="35" borderId="29" xfId="0" applyNumberFormat="1" applyFill="1" applyBorder="1" applyAlignment="1">
      <alignment/>
    </xf>
    <xf numFmtId="2" fontId="0" fillId="35" borderId="21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45" fillId="0" borderId="1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1" xfId="0" applyFont="1" applyBorder="1" applyAlignment="1">
      <alignment/>
    </xf>
    <xf numFmtId="2" fontId="45" fillId="35" borderId="21" xfId="0" applyNumberFormat="1" applyFont="1" applyFill="1" applyBorder="1" applyAlignment="1">
      <alignment/>
    </xf>
    <xf numFmtId="0" fontId="45" fillId="35" borderId="21" xfId="0" applyFont="1" applyFill="1" applyBorder="1" applyAlignment="1">
      <alignment/>
    </xf>
    <xf numFmtId="0" fontId="45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2" fontId="3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57" xfId="0" applyBorder="1" applyAlignment="1">
      <alignment/>
    </xf>
    <xf numFmtId="2" fontId="45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Year 2014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275"/>
          <c:y val="0.1925"/>
          <c:w val="0.43575"/>
          <c:h val="0.72175"/>
        </c:manualLayout>
      </c:layout>
      <c:pieChart>
        <c:varyColors val="1"/>
        <c:ser>
          <c:idx val="0"/>
          <c:order val="0"/>
          <c:tx>
            <c:strRef>
              <c:f>'Struktura importit 2014'!$C$3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'Struktura importit 2014'!$B$4:$B$11</c:f>
              <c:strCache/>
            </c:strRef>
          </c:cat>
          <c:val>
            <c:numRef>
              <c:f>'Struktura importit 2014'!$C$4:$C$11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3085"/>
          <c:w val="0.1235"/>
          <c:h val="0.4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15</xdr:row>
      <xdr:rowOff>47625</xdr:rowOff>
    </xdr:from>
    <xdr:to>
      <xdr:col>13</xdr:col>
      <xdr:colOff>495300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400300" y="2933700"/>
        <a:ext cx="6019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5">
      <selection activeCell="E23" sqref="E23:F37"/>
    </sheetView>
  </sheetViews>
  <sheetFormatPr defaultColWidth="9.140625" defaultRowHeight="15"/>
  <cols>
    <col min="3" max="12" width="10.57421875" style="0" bestFit="1" customWidth="1"/>
    <col min="13" max="13" width="11.57421875" style="0" customWidth="1"/>
    <col min="14" max="15" width="10.57421875" style="0" bestFit="1" customWidth="1"/>
    <col min="16" max="16" width="12.28125" style="0" customWidth="1"/>
  </cols>
  <sheetData>
    <row r="1" ht="15">
      <c r="A1" t="s">
        <v>9</v>
      </c>
    </row>
    <row r="2" ht="15.75" thickBot="1"/>
    <row r="3" spans="2:16" ht="15.75" thickBot="1">
      <c r="B3" s="3"/>
      <c r="C3" s="2">
        <v>2001</v>
      </c>
      <c r="D3" s="1">
        <v>2002</v>
      </c>
      <c r="E3" s="1">
        <v>2003</v>
      </c>
      <c r="F3" s="1">
        <v>2004</v>
      </c>
      <c r="G3" s="1">
        <v>2005</v>
      </c>
      <c r="H3" s="1">
        <v>2006</v>
      </c>
      <c r="I3" s="1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22">
        <v>2013</v>
      </c>
      <c r="P3" s="50">
        <v>2014</v>
      </c>
    </row>
    <row r="4" spans="2:17" ht="15.75" thickBot="1">
      <c r="B4" s="4" t="s">
        <v>12</v>
      </c>
      <c r="C4" s="10">
        <v>180373</v>
      </c>
      <c r="D4" s="11">
        <v>246470</v>
      </c>
      <c r="E4" s="11">
        <v>295633</v>
      </c>
      <c r="F4" s="11">
        <v>354617</v>
      </c>
      <c r="G4" s="11">
        <v>314972</v>
      </c>
      <c r="H4" s="11">
        <v>327836</v>
      </c>
      <c r="I4" s="11">
        <v>315626</v>
      </c>
      <c r="J4" s="11">
        <v>284532</v>
      </c>
      <c r="K4" s="11">
        <v>267256</v>
      </c>
      <c r="L4" s="11">
        <v>270612</v>
      </c>
      <c r="M4" s="11">
        <v>305944</v>
      </c>
      <c r="N4" s="11">
        <v>272705</v>
      </c>
      <c r="O4" s="51">
        <v>254225</v>
      </c>
      <c r="P4" s="110">
        <v>269398</v>
      </c>
      <c r="Q4" t="s">
        <v>13</v>
      </c>
    </row>
    <row r="5" spans="2:15" ht="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>
      <c r="A6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9"/>
      <c r="O6" s="9"/>
    </row>
    <row r="8" ht="15">
      <c r="A8" t="s">
        <v>10</v>
      </c>
    </row>
    <row r="9" ht="15.75" thickBot="1"/>
    <row r="10" spans="2:16" ht="15.75" thickBot="1">
      <c r="B10" s="3"/>
      <c r="C10" s="2">
        <v>2001</v>
      </c>
      <c r="D10" s="1">
        <v>2002</v>
      </c>
      <c r="E10" s="1">
        <v>2003</v>
      </c>
      <c r="F10" s="1">
        <v>2004</v>
      </c>
      <c r="G10" s="1">
        <v>2005</v>
      </c>
      <c r="H10" s="1">
        <v>2006</v>
      </c>
      <c r="I10" s="1">
        <v>2007</v>
      </c>
      <c r="J10" s="1">
        <v>2008</v>
      </c>
      <c r="K10" s="1">
        <v>2009</v>
      </c>
      <c r="L10" s="1">
        <v>2010</v>
      </c>
      <c r="M10" s="1">
        <v>2011</v>
      </c>
      <c r="N10" s="1">
        <v>2012</v>
      </c>
      <c r="O10" s="22">
        <v>2013</v>
      </c>
      <c r="P10" s="50">
        <v>2014</v>
      </c>
    </row>
    <row r="11" spans="2:17" ht="15.75" thickBot="1">
      <c r="B11" s="4" t="s">
        <v>11</v>
      </c>
      <c r="C11" s="46">
        <f>21854*143.48</f>
        <v>3135611.92</v>
      </c>
      <c r="D11" s="45">
        <f>27377*140.15</f>
        <v>3836886.5500000003</v>
      </c>
      <c r="E11" s="45">
        <f>121.86*35603</f>
        <v>4338581.58</v>
      </c>
      <c r="F11" s="45">
        <f>56041*102.77</f>
        <v>5759333.569999999</v>
      </c>
      <c r="G11" s="45">
        <f>46603*99.87</f>
        <v>4654241.61</v>
      </c>
      <c r="H11" s="45">
        <f>51864*98.1</f>
        <v>5087858.399999999</v>
      </c>
      <c r="I11" s="45">
        <f>80837*90.43</f>
        <v>7310089.91</v>
      </c>
      <c r="J11" s="45">
        <f>98175*83.89</f>
        <v>8235900.75</v>
      </c>
      <c r="K11" s="45">
        <f>56809*94.97</f>
        <v>5395150.7299999995</v>
      </c>
      <c r="L11" s="45">
        <f>68534*103.93</f>
        <v>7122738.62</v>
      </c>
      <c r="M11" s="45">
        <f>100.89*107016</f>
        <v>10796844.24</v>
      </c>
      <c r="N11" s="45">
        <f>108.18*88760</f>
        <v>9602056.8</v>
      </c>
      <c r="O11" s="52">
        <f>105.53*80995</f>
        <v>8547402.35</v>
      </c>
      <c r="P11" s="89">
        <v>6628679.640000001</v>
      </c>
      <c r="Q11" t="s">
        <v>14</v>
      </c>
    </row>
    <row r="12" spans="2:15" ht="15">
      <c r="B12" s="9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2:15" ht="15">
      <c r="B13" s="9"/>
      <c r="C13" s="49"/>
      <c r="D13" s="9"/>
      <c r="E13" s="9"/>
      <c r="F13" s="9"/>
      <c r="G13" s="9"/>
      <c r="H13" s="9"/>
      <c r="I13" s="9"/>
      <c r="J13" s="9"/>
      <c r="K13" s="9"/>
      <c r="L13" s="9"/>
      <c r="N13" s="9"/>
      <c r="O13" s="9"/>
    </row>
    <row r="15" ht="15">
      <c r="A15" t="s">
        <v>49</v>
      </c>
    </row>
    <row r="16" ht="15">
      <c r="A16" t="s">
        <v>8</v>
      </c>
    </row>
    <row r="17" ht="15">
      <c r="A17" t="s">
        <v>15</v>
      </c>
    </row>
    <row r="18" ht="15">
      <c r="A18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0.421875" style="0" bestFit="1" customWidth="1"/>
    <col min="3" max="12" width="12.140625" style="0" bestFit="1" customWidth="1"/>
    <col min="13" max="13" width="13.28125" style="0" bestFit="1" customWidth="1"/>
    <col min="14" max="16" width="12.140625" style="0" bestFit="1" customWidth="1"/>
  </cols>
  <sheetData>
    <row r="1" ht="15">
      <c r="A1" t="s">
        <v>39</v>
      </c>
    </row>
    <row r="2" ht="15.75" thickBot="1"/>
    <row r="3" spans="2:16" ht="15.75" thickBot="1">
      <c r="B3" s="7"/>
      <c r="C3" s="5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12">
        <v>2013</v>
      </c>
      <c r="P3" s="85">
        <v>2014</v>
      </c>
    </row>
    <row r="4" spans="2:17" ht="15">
      <c r="B4" s="14" t="s">
        <v>17</v>
      </c>
      <c r="C4" s="66"/>
      <c r="D4" s="67"/>
      <c r="E4" s="67"/>
      <c r="F4" s="67">
        <f>409230140/1000</f>
        <v>409230.14</v>
      </c>
      <c r="G4" s="67">
        <f>61919400/1000</f>
        <v>61919.4</v>
      </c>
      <c r="H4" s="67"/>
      <c r="I4" s="67"/>
      <c r="J4" s="67"/>
      <c r="K4" s="67"/>
      <c r="L4" s="67"/>
      <c r="M4" s="67"/>
      <c r="N4" s="67"/>
      <c r="O4" s="68"/>
      <c r="P4" s="69"/>
      <c r="Q4" t="s">
        <v>6</v>
      </c>
    </row>
    <row r="5" spans="2:16" ht="15">
      <c r="B5" s="15" t="s">
        <v>18</v>
      </c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1">
        <f>60148080/1000</f>
        <v>60148.08</v>
      </c>
      <c r="O5" s="72">
        <f>33664070/1000</f>
        <v>33664.07</v>
      </c>
      <c r="P5" s="73"/>
    </row>
    <row r="6" spans="2:16" ht="15">
      <c r="B6" s="15" t="s">
        <v>0</v>
      </c>
      <c r="C6" s="70"/>
      <c r="D6" s="71"/>
      <c r="E6" s="71"/>
      <c r="F6" s="71">
        <f>731414090/1000</f>
        <v>731414.09</v>
      </c>
      <c r="G6" s="71"/>
      <c r="H6" s="71"/>
      <c r="I6" s="71"/>
      <c r="J6" s="71"/>
      <c r="K6" s="71"/>
      <c r="L6" s="71"/>
      <c r="M6" s="71"/>
      <c r="N6" s="71"/>
      <c r="O6" s="74"/>
      <c r="P6" s="73"/>
    </row>
    <row r="7" spans="2:16" ht="15">
      <c r="B7" s="15" t="s">
        <v>19</v>
      </c>
      <c r="C7" s="70">
        <f>494001640/1000</f>
        <v>494001.64</v>
      </c>
      <c r="D7" s="71">
        <f>274133400/1000</f>
        <v>274133.4</v>
      </c>
      <c r="E7" s="71">
        <f>46916100/1000</f>
        <v>46916.1</v>
      </c>
      <c r="F7" s="75">
        <f>193515910/1000</f>
        <v>193515.91</v>
      </c>
      <c r="G7" s="75">
        <f>433435800/1000</f>
        <v>433435.8</v>
      </c>
      <c r="H7" s="75">
        <f>311761800/1000</f>
        <v>311761.8</v>
      </c>
      <c r="I7" s="75">
        <f>3526770/1000</f>
        <v>3526.77</v>
      </c>
      <c r="J7" s="75">
        <f>694357530/1000</f>
        <v>694357.53</v>
      </c>
      <c r="K7" s="75">
        <f>14055560/1000</f>
        <v>14055.56</v>
      </c>
      <c r="L7" s="75">
        <f>1351090/1000</f>
        <v>1351.09</v>
      </c>
      <c r="M7" s="75">
        <f>3833820/1000</f>
        <v>3833.82</v>
      </c>
      <c r="N7" s="75">
        <f>220146300/1000</f>
        <v>220146.3</v>
      </c>
      <c r="O7" s="72">
        <f>195652620/1000</f>
        <v>195652.62</v>
      </c>
      <c r="P7" s="73">
        <v>169928.28</v>
      </c>
    </row>
    <row r="8" spans="2:16" ht="15">
      <c r="B8" s="15" t="s">
        <v>20</v>
      </c>
      <c r="C8" s="70">
        <f>118944920/1000</f>
        <v>118944.92</v>
      </c>
      <c r="D8" s="71"/>
      <c r="E8" s="71"/>
      <c r="F8" s="75"/>
      <c r="G8" s="75"/>
      <c r="H8" s="75"/>
      <c r="I8" s="75"/>
      <c r="J8" s="75"/>
      <c r="K8" s="75"/>
      <c r="L8" s="75"/>
      <c r="M8" s="75"/>
      <c r="N8" s="75"/>
      <c r="O8" s="72"/>
      <c r="P8" s="73"/>
    </row>
    <row r="9" spans="2:16" ht="15">
      <c r="B9" s="15" t="s">
        <v>21</v>
      </c>
      <c r="C9" s="70"/>
      <c r="D9" s="71"/>
      <c r="E9" s="71"/>
      <c r="F9" s="75">
        <f>234932220/1000</f>
        <v>234932.22</v>
      </c>
      <c r="G9" s="75"/>
      <c r="H9" s="75"/>
      <c r="I9" s="75"/>
      <c r="J9" s="75"/>
      <c r="K9" s="75"/>
      <c r="L9" s="75"/>
      <c r="M9" s="75"/>
      <c r="N9" s="75"/>
      <c r="O9" s="72"/>
      <c r="P9" s="73"/>
    </row>
    <row r="10" spans="2:16" ht="15">
      <c r="B10" s="15" t="s">
        <v>42</v>
      </c>
      <c r="C10" s="70">
        <f>348369440/1000</f>
        <v>348369.44</v>
      </c>
      <c r="D10" s="71">
        <f>296557400/1000</f>
        <v>296557.4</v>
      </c>
      <c r="E10" s="71"/>
      <c r="F10" s="75">
        <f>300602250/1000</f>
        <v>300602.25</v>
      </c>
      <c r="G10" s="75"/>
      <c r="H10" s="75"/>
      <c r="I10" s="75"/>
      <c r="J10" s="75">
        <f>1845580/1000</f>
        <v>1845.58</v>
      </c>
      <c r="K10" s="75"/>
      <c r="L10" s="75"/>
      <c r="M10" s="75">
        <f>56801070/1000</f>
        <v>56801.07</v>
      </c>
      <c r="N10" s="75"/>
      <c r="O10" s="72"/>
      <c r="P10" s="73"/>
    </row>
    <row r="11" spans="2:16" ht="15">
      <c r="B11" s="15" t="s">
        <v>43</v>
      </c>
      <c r="C11" s="70">
        <f>471475280/1000</f>
        <v>471475.28</v>
      </c>
      <c r="D11" s="71">
        <f>53677450/1000</f>
        <v>53677.45</v>
      </c>
      <c r="E11" s="71">
        <f>89810820/1000</f>
        <v>89810.82</v>
      </c>
      <c r="F11" s="75">
        <f>187760790/1000</f>
        <v>187760.79</v>
      </c>
      <c r="G11" s="75"/>
      <c r="H11" s="75"/>
      <c r="I11" s="75">
        <f>12660200/1000</f>
        <v>12660.2</v>
      </c>
      <c r="J11" s="75">
        <f>86910040/1000</f>
        <v>86910.04</v>
      </c>
      <c r="K11" s="75">
        <f>791574950/1000</f>
        <v>791574.95</v>
      </c>
      <c r="L11" s="75">
        <f>648731060/1000</f>
        <v>648731.06</v>
      </c>
      <c r="M11" s="75">
        <f>336266370/1000</f>
        <v>336266.37</v>
      </c>
      <c r="N11" s="75">
        <f>544253580/1000</f>
        <v>544253.58</v>
      </c>
      <c r="O11" s="72">
        <f>324926870/1000</f>
        <v>324926.87</v>
      </c>
      <c r="P11" s="86">
        <v>318338.64</v>
      </c>
    </row>
    <row r="12" spans="2:16" ht="15">
      <c r="B12" s="15" t="s">
        <v>22</v>
      </c>
      <c r="C12" s="70"/>
      <c r="D12" s="71"/>
      <c r="E12" s="71">
        <f>561530880/1000</f>
        <v>561530.88</v>
      </c>
      <c r="F12" s="75"/>
      <c r="G12" s="75"/>
      <c r="H12" s="75"/>
      <c r="I12" s="75"/>
      <c r="J12" s="75"/>
      <c r="K12" s="75"/>
      <c r="L12" s="75"/>
      <c r="M12" s="75"/>
      <c r="N12" s="75"/>
      <c r="O12" s="72"/>
      <c r="P12" s="73"/>
    </row>
    <row r="13" spans="2:16" ht="15">
      <c r="B13" s="15" t="s">
        <v>44</v>
      </c>
      <c r="C13" s="70">
        <f>278494680/1000</f>
        <v>278494.68</v>
      </c>
      <c r="D13" s="71"/>
      <c r="E13" s="71">
        <f>315861120/1000</f>
        <v>315861.12</v>
      </c>
      <c r="F13" s="75">
        <f>639332170/1000</f>
        <v>639332.17</v>
      </c>
      <c r="G13" s="75"/>
      <c r="H13" s="75">
        <f>47676600/1000</f>
        <v>47676.6</v>
      </c>
      <c r="I13" s="75"/>
      <c r="J13" s="75">
        <f>90265640/1000</f>
        <v>90265.64</v>
      </c>
      <c r="K13" s="75"/>
      <c r="L13" s="75">
        <f>1341736300/1000</f>
        <v>1341736.3</v>
      </c>
      <c r="M13" s="75">
        <f>4079487150/1000</f>
        <v>4079487.15</v>
      </c>
      <c r="N13" s="75">
        <f>941382360/1000</f>
        <v>941382.36</v>
      </c>
      <c r="O13" s="72">
        <f>1026279250/1000</f>
        <v>1026279.25</v>
      </c>
      <c r="P13" s="73">
        <v>117715.68000000001</v>
      </c>
    </row>
    <row r="14" spans="2:16" ht="15">
      <c r="B14" s="15" t="s">
        <v>23</v>
      </c>
      <c r="C14" s="70"/>
      <c r="D14" s="71"/>
      <c r="E14" s="71">
        <f>83352240/1000</f>
        <v>83352.24</v>
      </c>
      <c r="F14" s="75"/>
      <c r="G14" s="75"/>
      <c r="H14" s="75"/>
      <c r="I14" s="75"/>
      <c r="J14" s="75"/>
      <c r="K14" s="75">
        <f>172655460/1000</f>
        <v>172655.46</v>
      </c>
      <c r="L14" s="75"/>
      <c r="M14" s="75">
        <f>362295990/1000</f>
        <v>362295.99</v>
      </c>
      <c r="N14" s="75"/>
      <c r="O14" s="72"/>
      <c r="P14" s="73"/>
    </row>
    <row r="15" spans="2:16" ht="15">
      <c r="B15" s="15" t="s">
        <v>24</v>
      </c>
      <c r="C15" s="70">
        <f>860880/1000</f>
        <v>860.88</v>
      </c>
      <c r="D15" s="71">
        <f>26628500/1000</f>
        <v>26628.5</v>
      </c>
      <c r="E15" s="71">
        <f>1218600/1000</f>
        <v>1218.6</v>
      </c>
      <c r="F15" s="75">
        <f>46965890/1000</f>
        <v>46965.89</v>
      </c>
      <c r="G15" s="75">
        <f>54229410/1000</f>
        <v>54229.41</v>
      </c>
      <c r="H15" s="75">
        <f>882900/1000</f>
        <v>882.9</v>
      </c>
      <c r="I15" s="75">
        <f>86631940/1000</f>
        <v>86631.94</v>
      </c>
      <c r="J15" s="75">
        <f>94627920/1000</f>
        <v>94627.92</v>
      </c>
      <c r="K15" s="75">
        <f>3988740/1000</f>
        <v>3988.74</v>
      </c>
      <c r="L15" s="75">
        <f>2078600/1000</f>
        <v>2078.6</v>
      </c>
      <c r="M15" s="75">
        <f>3531150/1000</f>
        <v>3531.15</v>
      </c>
      <c r="N15" s="75">
        <f>2704500/1000</f>
        <v>2704.5</v>
      </c>
      <c r="O15" s="72">
        <f>1582950/1000</f>
        <v>1582.95</v>
      </c>
      <c r="P15" s="73"/>
    </row>
    <row r="16" spans="2:16" ht="15">
      <c r="B16" s="15" t="s">
        <v>25</v>
      </c>
      <c r="C16" s="70">
        <v>390983</v>
      </c>
      <c r="D16" s="71">
        <f>255633600/1000</f>
        <v>255633.6</v>
      </c>
      <c r="E16" s="71">
        <f>162195660/1000</f>
        <v>162195.66</v>
      </c>
      <c r="F16" s="75">
        <f>54981950/1000</f>
        <v>54981.95</v>
      </c>
      <c r="G16" s="75">
        <f>106860900/1000</f>
        <v>106860.9</v>
      </c>
      <c r="H16" s="75"/>
      <c r="I16" s="75">
        <f>102185900/1000</f>
        <v>102185.9</v>
      </c>
      <c r="J16" s="75">
        <f>1656827500/1000</f>
        <v>1656827.5</v>
      </c>
      <c r="K16" s="75">
        <f>682264480/1000</f>
        <v>682264.48</v>
      </c>
      <c r="L16" s="75">
        <f>190295830/1000</f>
        <v>190295.83</v>
      </c>
      <c r="M16" s="75">
        <f>237394170/1000</f>
        <v>237394.17</v>
      </c>
      <c r="N16" s="75">
        <f>23475060/1000</f>
        <v>23475.06</v>
      </c>
      <c r="O16" s="72">
        <f>292212570/1000</f>
        <v>292212.57</v>
      </c>
      <c r="P16" s="73">
        <v>34913.880000000005</v>
      </c>
    </row>
    <row r="17" spans="2:16" ht="15">
      <c r="B17" s="15" t="s">
        <v>26</v>
      </c>
      <c r="C17" s="70"/>
      <c r="D17" s="71"/>
      <c r="E17" s="71">
        <f>65316960/1000</f>
        <v>65316.96</v>
      </c>
      <c r="F17" s="75"/>
      <c r="G17" s="75"/>
      <c r="H17" s="75"/>
      <c r="I17" s="75"/>
      <c r="J17" s="75"/>
      <c r="K17" s="75"/>
      <c r="L17" s="75"/>
      <c r="M17" s="75"/>
      <c r="N17" s="75"/>
      <c r="O17" s="72"/>
      <c r="P17" s="73"/>
    </row>
    <row r="18" spans="2:16" ht="15">
      <c r="B18" s="15" t="s">
        <v>27</v>
      </c>
      <c r="C18" s="70">
        <v>7174</v>
      </c>
      <c r="D18" s="71">
        <f>19340700/1000</f>
        <v>19340.7</v>
      </c>
      <c r="E18" s="71">
        <f>11576700/1000</f>
        <v>11576.7</v>
      </c>
      <c r="F18" s="75">
        <f>23739870/1000</f>
        <v>23739.87</v>
      </c>
      <c r="G18" s="75">
        <f>32557620/1000</f>
        <v>32557.62</v>
      </c>
      <c r="H18" s="75">
        <f>35316000/1000</f>
        <v>35316</v>
      </c>
      <c r="I18" s="75">
        <f>47023600/1000</f>
        <v>47023.6</v>
      </c>
      <c r="J18" s="75">
        <f>94040690/1000</f>
        <v>94040.69</v>
      </c>
      <c r="K18" s="75">
        <f>135522190/1000</f>
        <v>135522.19</v>
      </c>
      <c r="L18" s="75">
        <f>147268810/1000</f>
        <v>147268.81</v>
      </c>
      <c r="M18" s="75">
        <f>104925600/1000</f>
        <v>104925.6</v>
      </c>
      <c r="N18" s="75">
        <f>121486140/1000</f>
        <v>121486.14</v>
      </c>
      <c r="O18" s="72">
        <f>42000940/1000</f>
        <v>42000.94</v>
      </c>
      <c r="P18" s="87">
        <v>77738.76000000001</v>
      </c>
    </row>
    <row r="19" spans="2:16" ht="15">
      <c r="B19" s="15" t="s">
        <v>1</v>
      </c>
      <c r="C19" s="70"/>
      <c r="D19" s="71"/>
      <c r="E19" s="71">
        <f>30221280/1000</f>
        <v>30221.28</v>
      </c>
      <c r="F19" s="75"/>
      <c r="G19" s="75"/>
      <c r="H19" s="75">
        <f>183152700/1000</f>
        <v>183152.7</v>
      </c>
      <c r="I19" s="75">
        <f>196504390/1000</f>
        <v>196504.39</v>
      </c>
      <c r="J19" s="75">
        <f>999129900/1000</f>
        <v>999129.9</v>
      </c>
      <c r="K19" s="75"/>
      <c r="L19" s="75">
        <f>140617290/1000</f>
        <v>140617.29</v>
      </c>
      <c r="M19" s="75">
        <f>383180220/1000</f>
        <v>383180.22</v>
      </c>
      <c r="N19" s="75">
        <f>281592540/1000</f>
        <v>281592.54</v>
      </c>
      <c r="O19" s="72">
        <f>219502400/1000</f>
        <v>219502.4</v>
      </c>
      <c r="P19" s="73"/>
    </row>
    <row r="20" spans="2:16" ht="15">
      <c r="B20" s="15" t="s">
        <v>28</v>
      </c>
      <c r="C20" s="70">
        <f>1147840/1000</f>
        <v>1147.84</v>
      </c>
      <c r="D20" s="71"/>
      <c r="E20" s="71"/>
      <c r="F20" s="75"/>
      <c r="G20" s="75"/>
      <c r="H20" s="75">
        <f>196200/1000</f>
        <v>196.2</v>
      </c>
      <c r="I20" s="75">
        <f>542580/1000</f>
        <v>542.58</v>
      </c>
      <c r="J20" s="75">
        <f>1426130/1000</f>
        <v>1426.13</v>
      </c>
      <c r="K20" s="75"/>
      <c r="L20" s="75">
        <f>727510/1000</f>
        <v>727.51</v>
      </c>
      <c r="M20" s="75">
        <f>706230/1000</f>
        <v>706.23</v>
      </c>
      <c r="N20" s="75">
        <f>1081800/1000</f>
        <v>1081.8</v>
      </c>
      <c r="O20" s="72"/>
      <c r="P20" s="86">
        <v>64448.28</v>
      </c>
    </row>
    <row r="21" spans="2:16" ht="15">
      <c r="B21" s="16" t="s">
        <v>2</v>
      </c>
      <c r="C21" s="70"/>
      <c r="D21" s="71"/>
      <c r="E21" s="71">
        <f>30221280/1000</f>
        <v>30221.28</v>
      </c>
      <c r="F21" s="75"/>
      <c r="G21" s="75"/>
      <c r="H21" s="75"/>
      <c r="I21" s="75"/>
      <c r="J21" s="75"/>
      <c r="K21" s="75"/>
      <c r="L21" s="75"/>
      <c r="M21" s="75"/>
      <c r="N21" s="75"/>
      <c r="O21" s="72"/>
      <c r="P21" s="73"/>
    </row>
    <row r="22" spans="2:16" ht="15">
      <c r="B22" s="16" t="s">
        <v>29</v>
      </c>
      <c r="C22" s="70"/>
      <c r="D22" s="71"/>
      <c r="E22" s="71"/>
      <c r="F22" s="75">
        <f>95576100/1000</f>
        <v>95576.1</v>
      </c>
      <c r="G22" s="75"/>
      <c r="H22" s="75"/>
      <c r="I22" s="75"/>
      <c r="J22" s="75"/>
      <c r="K22" s="75"/>
      <c r="L22" s="75"/>
      <c r="M22" s="75"/>
      <c r="N22" s="75"/>
      <c r="O22" s="72"/>
      <c r="P22" s="73"/>
    </row>
    <row r="23" spans="2:16" ht="15">
      <c r="B23" s="16" t="s">
        <v>30</v>
      </c>
      <c r="C23" s="70"/>
      <c r="D23" s="71">
        <f>47370700/1000</f>
        <v>47370.7</v>
      </c>
      <c r="E23" s="71"/>
      <c r="F23" s="75"/>
      <c r="G23" s="75"/>
      <c r="H23" s="75">
        <f>140969700/1000</f>
        <v>140969.7</v>
      </c>
      <c r="I23" s="75">
        <f>151922400/1000</f>
        <v>151922.4</v>
      </c>
      <c r="J23" s="75"/>
      <c r="K23" s="75"/>
      <c r="L23" s="75">
        <f>406470230/1000</f>
        <v>406470.23</v>
      </c>
      <c r="M23" s="75"/>
      <c r="N23" s="75"/>
      <c r="O23" s="72"/>
      <c r="P23" s="73"/>
    </row>
    <row r="24" spans="2:16" ht="15">
      <c r="B24" s="16" t="s">
        <v>31</v>
      </c>
      <c r="C24" s="70"/>
      <c r="D24" s="71"/>
      <c r="E24" s="71"/>
      <c r="F24" s="75"/>
      <c r="G24" s="75"/>
      <c r="H24" s="75">
        <f>184820400/1000</f>
        <v>184820.4</v>
      </c>
      <c r="I24" s="75"/>
      <c r="J24" s="75">
        <f>442268080/1000</f>
        <v>442268.08</v>
      </c>
      <c r="K24" s="75"/>
      <c r="L24" s="75">
        <f>60383330/1000</f>
        <v>60383.33</v>
      </c>
      <c r="M24" s="75"/>
      <c r="N24" s="75"/>
      <c r="O24" s="72">
        <f>116083000/1000</f>
        <v>116083</v>
      </c>
      <c r="P24" s="73"/>
    </row>
    <row r="25" spans="2:16" ht="15">
      <c r="B25" s="16" t="s">
        <v>46</v>
      </c>
      <c r="C25" s="70">
        <f>147784400/1000</f>
        <v>147784.4</v>
      </c>
      <c r="D25" s="71">
        <f>2419829900/1000</f>
        <v>2419829.9</v>
      </c>
      <c r="E25" s="71">
        <f>2866390920/1000</f>
        <v>2866390.92</v>
      </c>
      <c r="F25" s="75">
        <f>2369259580/1000</f>
        <v>2369259.58</v>
      </c>
      <c r="G25" s="75">
        <f>3431732940/1000</f>
        <v>3431732.94</v>
      </c>
      <c r="H25" s="75">
        <f>3021480000/1000</f>
        <v>3021480</v>
      </c>
      <c r="I25" s="75">
        <f>5914031570/1000</f>
        <v>5914031.57</v>
      </c>
      <c r="J25" s="75">
        <f>3043445310/1000</f>
        <v>3043445.31</v>
      </c>
      <c r="K25" s="75">
        <f>3381216910/1000</f>
        <v>3381216.91</v>
      </c>
      <c r="L25" s="75">
        <f>3979271840/1000</f>
        <v>3979271.84</v>
      </c>
      <c r="M25" s="75">
        <f>4301243370/1000</f>
        <v>4301243.37</v>
      </c>
      <c r="N25" s="75">
        <f>7261474320/1000</f>
        <v>7261474.32</v>
      </c>
      <c r="O25" s="72">
        <f>5313646560/1000</f>
        <v>5313646.56</v>
      </c>
      <c r="P25" s="86">
        <v>4812735.96</v>
      </c>
    </row>
    <row r="26" spans="2:16" ht="15">
      <c r="B26" s="16" t="s">
        <v>4</v>
      </c>
      <c r="C26" s="70"/>
      <c r="D26" s="71"/>
      <c r="E26" s="71"/>
      <c r="F26" s="75"/>
      <c r="G26" s="75"/>
      <c r="H26" s="75">
        <f>35708400/1000</f>
        <v>35708.4</v>
      </c>
      <c r="I26" s="75">
        <f>228787900/1000</f>
        <v>228787.9</v>
      </c>
      <c r="J26" s="75">
        <f>257038960/1000</f>
        <v>257038.96</v>
      </c>
      <c r="K26" s="75">
        <f>52803320/1000</f>
        <v>52803.32</v>
      </c>
      <c r="L26" s="75">
        <f>99357080/1000</f>
        <v>99357.08</v>
      </c>
      <c r="M26" s="75">
        <f>459150390/1000</f>
        <v>459150.39</v>
      </c>
      <c r="N26" s="75">
        <f>49870980/1000</f>
        <v>49870.98</v>
      </c>
      <c r="O26" s="72">
        <f>981956650/1000</f>
        <v>981956.65</v>
      </c>
      <c r="P26" s="87">
        <v>1032860.16</v>
      </c>
    </row>
    <row r="27" spans="2:16" ht="15">
      <c r="B27" s="16" t="s">
        <v>32</v>
      </c>
      <c r="C27" s="70"/>
      <c r="D27" s="71">
        <f>314356450/1000</f>
        <v>314356.45</v>
      </c>
      <c r="E27" s="71"/>
      <c r="F27" s="75">
        <f>337188370/1000</f>
        <v>337188.37</v>
      </c>
      <c r="G27" s="75">
        <f>17277510/1000</f>
        <v>17277.51</v>
      </c>
      <c r="H27" s="75"/>
      <c r="I27" s="75"/>
      <c r="J27" s="75"/>
      <c r="K27" s="75"/>
      <c r="L27" s="75"/>
      <c r="M27" s="75"/>
      <c r="N27" s="75"/>
      <c r="O27" s="72"/>
      <c r="P27" s="73"/>
    </row>
    <row r="28" spans="2:16" ht="15">
      <c r="B28" s="16" t="s">
        <v>33</v>
      </c>
      <c r="C28" s="70"/>
      <c r="D28" s="71"/>
      <c r="E28" s="71"/>
      <c r="F28" s="75"/>
      <c r="G28" s="75"/>
      <c r="H28" s="75"/>
      <c r="I28" s="75"/>
      <c r="J28" s="75">
        <f>171890610/1000</f>
        <v>171890.61</v>
      </c>
      <c r="K28" s="75"/>
      <c r="L28" s="75"/>
      <c r="M28" s="75"/>
      <c r="N28" s="75"/>
      <c r="O28" s="72"/>
      <c r="P28" s="73"/>
    </row>
    <row r="29" spans="2:16" ht="15">
      <c r="B29" s="16" t="s">
        <v>34</v>
      </c>
      <c r="C29" s="70"/>
      <c r="D29" s="71"/>
      <c r="E29" s="71"/>
      <c r="F29" s="75"/>
      <c r="G29" s="75"/>
      <c r="H29" s="75"/>
      <c r="I29" s="75">
        <f>31921790/1000</f>
        <v>31921.79</v>
      </c>
      <c r="J29" s="75"/>
      <c r="K29" s="75"/>
      <c r="L29" s="75"/>
      <c r="M29" s="75">
        <f>146189610/1000</f>
        <v>146189.61</v>
      </c>
      <c r="N29" s="75"/>
      <c r="O29" s="72"/>
      <c r="P29" s="73"/>
    </row>
    <row r="30" spans="2:16" ht="15">
      <c r="B30" s="16" t="s">
        <v>35</v>
      </c>
      <c r="C30" s="70"/>
      <c r="D30" s="71">
        <v>30833</v>
      </c>
      <c r="E30" s="71"/>
      <c r="F30" s="75">
        <f>51179460/1000</f>
        <v>51179.46</v>
      </c>
      <c r="G30" s="75">
        <f>6391680/1000</f>
        <v>6391.68</v>
      </c>
      <c r="H30" s="75"/>
      <c r="I30" s="75"/>
      <c r="J30" s="75"/>
      <c r="K30" s="75"/>
      <c r="L30" s="75"/>
      <c r="M30" s="75"/>
      <c r="N30" s="75"/>
      <c r="O30" s="72"/>
      <c r="P30" s="73"/>
    </row>
    <row r="31" spans="2:16" ht="15">
      <c r="B31" s="16" t="s">
        <v>36</v>
      </c>
      <c r="C31" s="70">
        <f>876088880/1000</f>
        <v>876088.88</v>
      </c>
      <c r="D31" s="71"/>
      <c r="E31" s="71"/>
      <c r="F31" s="75">
        <f>1233240/1000</f>
        <v>1233.24</v>
      </c>
      <c r="G31" s="75">
        <f>1797660/1000</f>
        <v>1797.66</v>
      </c>
      <c r="H31" s="75">
        <f>2060100/1000</f>
        <v>2060.1</v>
      </c>
      <c r="I31" s="75">
        <f>3074620/1000</f>
        <v>3074.62</v>
      </c>
      <c r="J31" s="75">
        <f>922790/1000</f>
        <v>922.79</v>
      </c>
      <c r="K31" s="75">
        <f>759760/1000</f>
        <v>759.76</v>
      </c>
      <c r="L31" s="75"/>
      <c r="M31" s="75">
        <f>1210680/1000</f>
        <v>1210.68</v>
      </c>
      <c r="N31" s="75">
        <f>108180/1000</f>
        <v>108.18</v>
      </c>
      <c r="O31" s="72"/>
      <c r="P31" s="73"/>
    </row>
    <row r="32" spans="2:16" ht="15.75" thickBot="1">
      <c r="B32" s="17" t="s">
        <v>45</v>
      </c>
      <c r="C32" s="76"/>
      <c r="D32" s="77">
        <f>98385300/1000</f>
        <v>98385.3</v>
      </c>
      <c r="E32" s="77">
        <f>73847160/1000</f>
        <v>73847.16</v>
      </c>
      <c r="F32" s="78">
        <f>82421540/1000</f>
        <v>82421.54</v>
      </c>
      <c r="G32" s="78">
        <f>507838950/1000</f>
        <v>507838.95</v>
      </c>
      <c r="H32" s="78">
        <f>1123735500/1000</f>
        <v>1123735.5</v>
      </c>
      <c r="I32" s="78">
        <f>531185820/1000</f>
        <v>531185.82</v>
      </c>
      <c r="J32" s="78">
        <f>600987960/1000</f>
        <v>600987.96</v>
      </c>
      <c r="K32" s="78">
        <f>160214390/1000</f>
        <v>160214.39</v>
      </c>
      <c r="L32" s="78">
        <f>104553580/1000</f>
        <v>104553.58</v>
      </c>
      <c r="M32" s="78">
        <f>320527530/1000</f>
        <v>320527.53</v>
      </c>
      <c r="N32" s="78">
        <f>94441140/1000</f>
        <v>94441.14</v>
      </c>
      <c r="O32" s="79"/>
      <c r="P32" s="88"/>
    </row>
    <row r="33" spans="2:16" ht="15.75" thickBot="1">
      <c r="B33" s="25" t="s">
        <v>37</v>
      </c>
      <c r="C33" s="80">
        <f>SUM(C4:C32)</f>
        <v>3135324.9599999995</v>
      </c>
      <c r="D33" s="81">
        <f aca="true" t="shared" si="0" ref="D33:O33">SUM(D4:D32)</f>
        <v>3836746.4</v>
      </c>
      <c r="E33" s="80">
        <f t="shared" si="0"/>
        <v>4338459.720000001</v>
      </c>
      <c r="F33" s="82">
        <f t="shared" si="0"/>
        <v>5759333.570000001</v>
      </c>
      <c r="G33" s="83">
        <f t="shared" si="0"/>
        <v>4654041.87</v>
      </c>
      <c r="H33" s="82">
        <f t="shared" si="0"/>
        <v>5087760.3</v>
      </c>
      <c r="I33" s="83">
        <f t="shared" si="0"/>
        <v>7309999.480000001</v>
      </c>
      <c r="J33" s="82">
        <f t="shared" si="0"/>
        <v>8235984.640000001</v>
      </c>
      <c r="K33" s="83">
        <f t="shared" si="0"/>
        <v>5395055.76</v>
      </c>
      <c r="L33" s="83">
        <f t="shared" si="0"/>
        <v>7122842.550000001</v>
      </c>
      <c r="M33" s="83">
        <f t="shared" si="0"/>
        <v>10796743.35</v>
      </c>
      <c r="N33" s="82">
        <f t="shared" si="0"/>
        <v>9602164.98</v>
      </c>
      <c r="O33" s="84">
        <f t="shared" si="0"/>
        <v>8547507.879999999</v>
      </c>
      <c r="P33" s="89">
        <v>6628679.640000001</v>
      </c>
    </row>
    <row r="34" spans="2:15" ht="15"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7" ht="15">
      <c r="A37" t="s">
        <v>49</v>
      </c>
    </row>
    <row r="38" ht="15">
      <c r="A38" t="s">
        <v>8</v>
      </c>
    </row>
    <row r="39" ht="15">
      <c r="A39" t="s">
        <v>15</v>
      </c>
    </row>
    <row r="40" ht="15">
      <c r="A40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B3" sqref="B3:P33"/>
    </sheetView>
  </sheetViews>
  <sheetFormatPr defaultColWidth="9.140625" defaultRowHeight="15"/>
  <cols>
    <col min="2" max="2" width="30.421875" style="0" bestFit="1" customWidth="1"/>
    <col min="3" max="12" width="7.00390625" style="0" bestFit="1" customWidth="1"/>
    <col min="13" max="13" width="7.7109375" style="0" customWidth="1"/>
    <col min="14" max="16" width="7.00390625" style="0" bestFit="1" customWidth="1"/>
    <col min="19" max="19" width="9.28125" style="0" bestFit="1" customWidth="1"/>
  </cols>
  <sheetData>
    <row r="1" ht="15">
      <c r="A1" t="s">
        <v>40</v>
      </c>
    </row>
    <row r="2" ht="15.75" thickBot="1"/>
    <row r="3" spans="2:16" ht="15.75" thickBot="1">
      <c r="B3" s="7"/>
      <c r="C3" s="57">
        <v>2001</v>
      </c>
      <c r="D3" s="1">
        <v>2002</v>
      </c>
      <c r="E3" s="1">
        <v>2003</v>
      </c>
      <c r="F3" s="1">
        <v>2004</v>
      </c>
      <c r="G3" s="22">
        <v>2005</v>
      </c>
      <c r="H3" s="1">
        <v>2006</v>
      </c>
      <c r="I3" s="2">
        <v>2007</v>
      </c>
      <c r="J3" s="1">
        <v>2008</v>
      </c>
      <c r="K3" s="1">
        <v>2009</v>
      </c>
      <c r="L3" s="1">
        <v>2010</v>
      </c>
      <c r="M3" s="1">
        <v>2011</v>
      </c>
      <c r="N3" s="1">
        <v>2012</v>
      </c>
      <c r="O3" s="22">
        <v>2013</v>
      </c>
      <c r="P3" s="85">
        <v>2014</v>
      </c>
    </row>
    <row r="4" spans="2:17" ht="15">
      <c r="B4" s="41" t="s">
        <v>17</v>
      </c>
      <c r="C4" s="59">
        <v>0</v>
      </c>
      <c r="D4" s="55">
        <v>0</v>
      </c>
      <c r="E4" s="55">
        <v>0</v>
      </c>
      <c r="F4" s="55">
        <v>27417</v>
      </c>
      <c r="G4" s="55">
        <v>4374</v>
      </c>
      <c r="H4" s="44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5">
        <v>0</v>
      </c>
      <c r="O4" s="56">
        <v>0</v>
      </c>
      <c r="P4" s="90"/>
      <c r="Q4" t="s">
        <v>41</v>
      </c>
    </row>
    <row r="5" spans="2:16" ht="15">
      <c r="B5" s="42" t="s">
        <v>18</v>
      </c>
      <c r="C5" s="60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1603</v>
      </c>
      <c r="O5" s="53">
        <v>820</v>
      </c>
      <c r="P5" s="58"/>
    </row>
    <row r="6" spans="2:16" ht="15">
      <c r="B6" s="42" t="s">
        <v>0</v>
      </c>
      <c r="C6" s="60">
        <v>0</v>
      </c>
      <c r="D6" s="39">
        <v>0</v>
      </c>
      <c r="E6" s="39">
        <v>0</v>
      </c>
      <c r="F6" s="39">
        <v>42860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53">
        <v>0</v>
      </c>
      <c r="P6" s="58"/>
    </row>
    <row r="7" spans="2:16" s="33" customFormat="1" ht="15">
      <c r="B7" s="42" t="s">
        <v>19</v>
      </c>
      <c r="C7" s="60">
        <v>30447</v>
      </c>
      <c r="D7" s="39">
        <v>17573</v>
      </c>
      <c r="E7" s="39">
        <v>2845</v>
      </c>
      <c r="F7" s="39">
        <v>11391</v>
      </c>
      <c r="G7" s="39">
        <v>29023</v>
      </c>
      <c r="H7" s="39">
        <v>20279</v>
      </c>
      <c r="I7" s="39">
        <v>112</v>
      </c>
      <c r="J7" s="39">
        <v>21557</v>
      </c>
      <c r="K7" s="39">
        <v>593</v>
      </c>
      <c r="L7" s="39">
        <v>48</v>
      </c>
      <c r="M7" s="39">
        <v>101</v>
      </c>
      <c r="N7" s="39">
        <v>6278</v>
      </c>
      <c r="O7" s="53">
        <v>5434</v>
      </c>
      <c r="P7" s="91">
        <v>6462</v>
      </c>
    </row>
    <row r="8" spans="2:16" ht="15">
      <c r="B8" s="42" t="s">
        <v>20</v>
      </c>
      <c r="C8" s="60">
        <v>11519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53">
        <v>0</v>
      </c>
      <c r="P8" s="58"/>
    </row>
    <row r="9" spans="2:16" ht="15">
      <c r="B9" s="42" t="s">
        <v>21</v>
      </c>
      <c r="C9" s="60">
        <v>0</v>
      </c>
      <c r="D9" s="39">
        <v>0</v>
      </c>
      <c r="E9" s="39">
        <v>0</v>
      </c>
      <c r="F9" s="39">
        <v>18600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53">
        <v>0</v>
      </c>
      <c r="P9" s="58"/>
    </row>
    <row r="10" spans="2:16" ht="15">
      <c r="B10" s="42" t="s">
        <v>42</v>
      </c>
      <c r="C10" s="60">
        <v>21500</v>
      </c>
      <c r="D10" s="39">
        <v>18499</v>
      </c>
      <c r="E10" s="39">
        <v>0</v>
      </c>
      <c r="F10" s="39">
        <v>17877</v>
      </c>
      <c r="G10" s="39">
        <v>0</v>
      </c>
      <c r="H10" s="39">
        <v>0</v>
      </c>
      <c r="I10" s="39">
        <v>0</v>
      </c>
      <c r="J10" s="39">
        <v>41</v>
      </c>
      <c r="K10" s="39">
        <v>0</v>
      </c>
      <c r="L10" s="39">
        <v>0</v>
      </c>
      <c r="M10" s="39">
        <v>1286</v>
      </c>
      <c r="N10" s="39">
        <v>0</v>
      </c>
      <c r="O10" s="53">
        <v>0</v>
      </c>
      <c r="P10" s="58"/>
    </row>
    <row r="11" spans="2:19" s="34" customFormat="1" ht="15">
      <c r="B11" s="42" t="s">
        <v>43</v>
      </c>
      <c r="C11" s="60">
        <v>25043</v>
      </c>
      <c r="D11" s="39">
        <v>3646</v>
      </c>
      <c r="E11" s="39">
        <v>5610</v>
      </c>
      <c r="F11" s="39">
        <v>12693</v>
      </c>
      <c r="G11" s="39"/>
      <c r="H11" s="39"/>
      <c r="I11" s="39">
        <v>646</v>
      </c>
      <c r="J11" s="39">
        <v>3078</v>
      </c>
      <c r="K11" s="39">
        <v>35693</v>
      </c>
      <c r="L11" s="39">
        <v>22186</v>
      </c>
      <c r="M11" s="39">
        <v>8845</v>
      </c>
      <c r="N11" s="39">
        <v>15242</v>
      </c>
      <c r="O11" s="53">
        <v>10209</v>
      </c>
      <c r="P11" s="92">
        <v>11878</v>
      </c>
      <c r="R11" s="34">
        <f>P11-O11</f>
        <v>1669</v>
      </c>
      <c r="S11" s="109">
        <f>R11/O11*100</f>
        <v>16.34832010970712</v>
      </c>
    </row>
    <row r="12" spans="2:19" ht="15">
      <c r="B12" s="42" t="s">
        <v>22</v>
      </c>
      <c r="C12" s="60">
        <v>0</v>
      </c>
      <c r="D12" s="39">
        <v>0</v>
      </c>
      <c r="E12" s="39">
        <v>39077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53">
        <v>0</v>
      </c>
      <c r="P12" s="58"/>
      <c r="S12" s="109"/>
    </row>
    <row r="13" spans="2:19" s="34" customFormat="1" ht="15">
      <c r="B13" s="42" t="s">
        <v>44</v>
      </c>
      <c r="C13" s="60">
        <v>16443</v>
      </c>
      <c r="D13" s="39">
        <v>0</v>
      </c>
      <c r="E13" s="39">
        <v>23783</v>
      </c>
      <c r="F13" s="39">
        <v>42801</v>
      </c>
      <c r="G13" s="39">
        <v>0</v>
      </c>
      <c r="H13" s="39">
        <v>3000</v>
      </c>
      <c r="I13" s="39">
        <v>0</v>
      </c>
      <c r="J13" s="39">
        <v>2850</v>
      </c>
      <c r="K13" s="39">
        <v>0</v>
      </c>
      <c r="L13" s="39">
        <v>38503</v>
      </c>
      <c r="M13" s="39">
        <v>96454</v>
      </c>
      <c r="N13" s="39">
        <v>25178</v>
      </c>
      <c r="O13" s="53">
        <v>24772</v>
      </c>
      <c r="P13" s="93">
        <v>2849</v>
      </c>
      <c r="S13" s="109"/>
    </row>
    <row r="14" spans="2:19" ht="15">
      <c r="B14" s="42" t="s">
        <v>23</v>
      </c>
      <c r="C14" s="60">
        <v>0</v>
      </c>
      <c r="D14" s="39">
        <v>0</v>
      </c>
      <c r="E14" s="39">
        <v>5718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6653</v>
      </c>
      <c r="L14" s="39">
        <v>0</v>
      </c>
      <c r="M14" s="39">
        <v>8051</v>
      </c>
      <c r="N14" s="39">
        <v>0</v>
      </c>
      <c r="O14" s="53">
        <v>0</v>
      </c>
      <c r="P14" s="58"/>
      <c r="S14" s="109"/>
    </row>
    <row r="15" spans="2:19" s="33" customFormat="1" ht="15">
      <c r="B15" s="42" t="s">
        <v>24</v>
      </c>
      <c r="C15" s="60">
        <v>39</v>
      </c>
      <c r="D15" s="39">
        <v>1585</v>
      </c>
      <c r="E15" s="39">
        <v>62</v>
      </c>
      <c r="F15" s="39">
        <v>2629</v>
      </c>
      <c r="G15" s="39">
        <v>3180</v>
      </c>
      <c r="H15" s="39">
        <v>36</v>
      </c>
      <c r="I15" s="39">
        <v>2615</v>
      </c>
      <c r="J15" s="39">
        <v>2745</v>
      </c>
      <c r="K15" s="39">
        <v>141</v>
      </c>
      <c r="L15" s="39">
        <v>77</v>
      </c>
      <c r="M15" s="39">
        <v>81</v>
      </c>
      <c r="N15" s="39">
        <v>70</v>
      </c>
      <c r="O15" s="53">
        <v>35</v>
      </c>
      <c r="P15" s="91"/>
      <c r="S15" s="109"/>
    </row>
    <row r="16" spans="2:19" s="34" customFormat="1" ht="15">
      <c r="B16" s="42" t="s">
        <v>25</v>
      </c>
      <c r="C16" s="60">
        <v>22281</v>
      </c>
      <c r="D16" s="39">
        <v>17119</v>
      </c>
      <c r="E16" s="39">
        <v>11143</v>
      </c>
      <c r="F16" s="39">
        <v>3000</v>
      </c>
      <c r="G16" s="39">
        <v>5436</v>
      </c>
      <c r="H16" s="39">
        <v>0</v>
      </c>
      <c r="I16" s="39">
        <v>3000</v>
      </c>
      <c r="J16" s="39">
        <v>52833</v>
      </c>
      <c r="K16" s="39">
        <v>28760</v>
      </c>
      <c r="L16" s="39">
        <v>6723</v>
      </c>
      <c r="M16" s="39">
        <v>5636</v>
      </c>
      <c r="N16" s="39">
        <v>632</v>
      </c>
      <c r="O16" s="53">
        <v>8318</v>
      </c>
      <c r="P16" s="93">
        <v>1215</v>
      </c>
      <c r="S16" s="109"/>
    </row>
    <row r="17" spans="2:19" ht="15">
      <c r="B17" s="42" t="s">
        <v>26</v>
      </c>
      <c r="C17" s="60">
        <v>0</v>
      </c>
      <c r="D17" s="39">
        <v>0</v>
      </c>
      <c r="E17" s="39">
        <v>4750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53">
        <v>0</v>
      </c>
      <c r="P17" s="58"/>
      <c r="S17" s="109"/>
    </row>
    <row r="18" spans="2:19" s="33" customFormat="1" ht="15">
      <c r="B18" s="42" t="s">
        <v>27</v>
      </c>
      <c r="C18" s="60">
        <v>268</v>
      </c>
      <c r="D18" s="39">
        <v>1030</v>
      </c>
      <c r="E18" s="39">
        <v>657</v>
      </c>
      <c r="F18" s="39">
        <v>1764</v>
      </c>
      <c r="G18" s="39">
        <v>1886</v>
      </c>
      <c r="H18" s="39">
        <v>1439</v>
      </c>
      <c r="I18" s="39">
        <v>1281</v>
      </c>
      <c r="J18" s="39">
        <v>2543</v>
      </c>
      <c r="K18" s="39">
        <v>4769</v>
      </c>
      <c r="L18" s="39">
        <v>5013</v>
      </c>
      <c r="M18" s="39">
        <v>2489</v>
      </c>
      <c r="N18" s="39">
        <v>2375</v>
      </c>
      <c r="O18" s="53">
        <v>998</v>
      </c>
      <c r="P18" s="92">
        <v>1706</v>
      </c>
      <c r="R18" s="33">
        <f>P18-O18</f>
        <v>708</v>
      </c>
      <c r="S18" s="109">
        <f aca="true" t="shared" si="0" ref="S18:S26">R18/O18*100</f>
        <v>70.94188376753507</v>
      </c>
    </row>
    <row r="19" spans="2:19" ht="15">
      <c r="B19" s="42" t="s">
        <v>1</v>
      </c>
      <c r="C19" s="60">
        <v>0</v>
      </c>
      <c r="D19" s="39">
        <v>0</v>
      </c>
      <c r="E19" s="39">
        <v>2150</v>
      </c>
      <c r="F19" s="39">
        <v>0</v>
      </c>
      <c r="G19" s="39">
        <v>0</v>
      </c>
      <c r="H19" s="39">
        <v>9131</v>
      </c>
      <c r="I19" s="39">
        <v>9415</v>
      </c>
      <c r="J19" s="39">
        <v>32102</v>
      </c>
      <c r="K19" s="39">
        <v>0</v>
      </c>
      <c r="L19" s="39">
        <v>4000</v>
      </c>
      <c r="M19" s="39">
        <v>10737</v>
      </c>
      <c r="N19" s="39">
        <v>8260</v>
      </c>
      <c r="O19" s="53">
        <v>6031</v>
      </c>
      <c r="P19" s="58"/>
      <c r="R19">
        <f>P20</f>
        <v>3450</v>
      </c>
      <c r="S19" s="109">
        <f t="shared" si="0"/>
        <v>57.20444370751119</v>
      </c>
    </row>
    <row r="20" spans="2:19" ht="15">
      <c r="B20" s="42" t="s">
        <v>28</v>
      </c>
      <c r="C20" s="60">
        <v>65</v>
      </c>
      <c r="D20" s="39">
        <v>0</v>
      </c>
      <c r="E20" s="39">
        <v>0</v>
      </c>
      <c r="F20" s="39">
        <v>0</v>
      </c>
      <c r="G20" s="39">
        <v>0</v>
      </c>
      <c r="H20" s="39">
        <v>6</v>
      </c>
      <c r="I20" s="39">
        <v>21</v>
      </c>
      <c r="J20" s="39">
        <v>42</v>
      </c>
      <c r="K20" s="39">
        <v>0</v>
      </c>
      <c r="L20" s="39">
        <v>22</v>
      </c>
      <c r="M20" s="39">
        <v>20</v>
      </c>
      <c r="N20" s="39">
        <v>25</v>
      </c>
      <c r="O20" s="53">
        <v>0</v>
      </c>
      <c r="P20" s="94">
        <v>3450</v>
      </c>
      <c r="S20" s="109"/>
    </row>
    <row r="21" spans="2:19" ht="15">
      <c r="B21" s="43" t="s">
        <v>2</v>
      </c>
      <c r="C21" s="60">
        <v>0</v>
      </c>
      <c r="D21" s="39">
        <v>0</v>
      </c>
      <c r="E21" s="39">
        <v>2150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53">
        <v>0</v>
      </c>
      <c r="P21" s="58"/>
      <c r="S21" s="109"/>
    </row>
    <row r="22" spans="2:19" ht="15">
      <c r="B22" s="42" t="s">
        <v>29</v>
      </c>
      <c r="C22" s="60">
        <v>0</v>
      </c>
      <c r="D22" s="39">
        <v>0</v>
      </c>
      <c r="E22" s="39">
        <v>0</v>
      </c>
      <c r="F22" s="39">
        <v>7095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53">
        <v>0</v>
      </c>
      <c r="P22" s="58"/>
      <c r="S22" s="109"/>
    </row>
    <row r="23" spans="2:19" ht="15">
      <c r="B23" s="43" t="s">
        <v>30</v>
      </c>
      <c r="C23" s="60">
        <v>0</v>
      </c>
      <c r="D23" s="39">
        <v>2929</v>
      </c>
      <c r="E23" s="39">
        <v>0</v>
      </c>
      <c r="F23" s="39">
        <v>0</v>
      </c>
      <c r="G23" s="39">
        <v>0</v>
      </c>
      <c r="H23" s="39">
        <v>7010</v>
      </c>
      <c r="I23" s="39">
        <v>7505</v>
      </c>
      <c r="J23" s="39">
        <v>0</v>
      </c>
      <c r="K23" s="39">
        <v>0</v>
      </c>
      <c r="L23" s="39">
        <v>12441</v>
      </c>
      <c r="M23" s="39">
        <v>0</v>
      </c>
      <c r="N23" s="39">
        <v>0</v>
      </c>
      <c r="O23" s="53">
        <v>0</v>
      </c>
      <c r="P23" s="58"/>
      <c r="S23" s="109"/>
    </row>
    <row r="24" spans="2:19" ht="15">
      <c r="B24" s="43" t="s">
        <v>31</v>
      </c>
      <c r="C24" s="60">
        <v>0</v>
      </c>
      <c r="D24" s="39">
        <v>0</v>
      </c>
      <c r="E24" s="39">
        <v>0</v>
      </c>
      <c r="F24" s="39">
        <v>0</v>
      </c>
      <c r="G24" s="39">
        <v>0</v>
      </c>
      <c r="H24" s="39">
        <v>9755</v>
      </c>
      <c r="I24" s="39">
        <v>0</v>
      </c>
      <c r="J24" s="39">
        <v>15503</v>
      </c>
      <c r="K24" s="40">
        <v>0</v>
      </c>
      <c r="L24" s="40">
        <v>1761</v>
      </c>
      <c r="M24" s="39">
        <v>0</v>
      </c>
      <c r="N24" s="39">
        <v>0</v>
      </c>
      <c r="O24" s="53">
        <v>3028</v>
      </c>
      <c r="P24" s="58"/>
      <c r="S24" s="109"/>
    </row>
    <row r="25" spans="2:19" s="33" customFormat="1" ht="15">
      <c r="B25" s="43" t="s">
        <v>46</v>
      </c>
      <c r="C25" s="60">
        <v>9294</v>
      </c>
      <c r="D25" s="39">
        <v>155082</v>
      </c>
      <c r="E25" s="39">
        <v>193035</v>
      </c>
      <c r="F25" s="39">
        <v>137579</v>
      </c>
      <c r="G25" s="39">
        <v>233848</v>
      </c>
      <c r="H25" s="39">
        <v>196639</v>
      </c>
      <c r="I25" s="39">
        <v>252970</v>
      </c>
      <c r="J25" s="39">
        <v>120806</v>
      </c>
      <c r="K25" s="39">
        <v>180116</v>
      </c>
      <c r="L25" s="39">
        <v>173674</v>
      </c>
      <c r="M25" s="39">
        <v>149818</v>
      </c>
      <c r="N25" s="39">
        <v>208549</v>
      </c>
      <c r="O25" s="53">
        <v>165452</v>
      </c>
      <c r="P25" s="92">
        <v>200512</v>
      </c>
      <c r="R25" s="33">
        <f>P25-O25</f>
        <v>35060</v>
      </c>
      <c r="S25" s="109">
        <f t="shared" si="0"/>
        <v>21.190435896815995</v>
      </c>
    </row>
    <row r="26" spans="2:19" s="33" customFormat="1" ht="15">
      <c r="B26" s="43" t="s">
        <v>4</v>
      </c>
      <c r="C26" s="60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1812</v>
      </c>
      <c r="I26" s="39">
        <v>11191</v>
      </c>
      <c r="J26" s="39">
        <v>9034</v>
      </c>
      <c r="K26" s="39">
        <v>2157</v>
      </c>
      <c r="L26" s="39">
        <v>3114</v>
      </c>
      <c r="M26" s="39">
        <v>10923</v>
      </c>
      <c r="N26" s="39">
        <v>1415</v>
      </c>
      <c r="O26" s="53">
        <v>29131</v>
      </c>
      <c r="P26" s="94">
        <v>41326</v>
      </c>
      <c r="R26" s="33">
        <f>P26-O26</f>
        <v>12195</v>
      </c>
      <c r="S26" s="109">
        <f t="shared" si="0"/>
        <v>41.86262057601867</v>
      </c>
    </row>
    <row r="27" spans="2:19" ht="15">
      <c r="B27" s="43" t="s">
        <v>32</v>
      </c>
      <c r="C27" s="60">
        <v>0</v>
      </c>
      <c r="D27" s="39">
        <v>20468</v>
      </c>
      <c r="E27" s="39">
        <v>0</v>
      </c>
      <c r="F27" s="39">
        <v>20821</v>
      </c>
      <c r="G27" s="39">
        <v>1155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53">
        <v>0</v>
      </c>
      <c r="P27" s="58"/>
      <c r="S27" s="34"/>
    </row>
    <row r="28" spans="2:16" ht="15">
      <c r="B28" s="43" t="s">
        <v>33</v>
      </c>
      <c r="C28" s="60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4657</v>
      </c>
      <c r="K28" s="39">
        <v>0</v>
      </c>
      <c r="L28" s="39">
        <v>0</v>
      </c>
      <c r="M28" s="39">
        <v>0</v>
      </c>
      <c r="N28" s="39">
        <v>0</v>
      </c>
      <c r="O28" s="53">
        <v>0</v>
      </c>
      <c r="P28" s="58"/>
    </row>
    <row r="29" spans="2:16" ht="15">
      <c r="B29" s="43" t="s">
        <v>34</v>
      </c>
      <c r="C29" s="60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1307</v>
      </c>
      <c r="J29" s="39">
        <v>0</v>
      </c>
      <c r="K29" s="39">
        <v>0</v>
      </c>
      <c r="L29" s="39">
        <v>0</v>
      </c>
      <c r="M29" s="39">
        <v>3300</v>
      </c>
      <c r="N29" s="39">
        <v>0</v>
      </c>
      <c r="O29" s="53">
        <v>0</v>
      </c>
      <c r="P29" s="58"/>
    </row>
    <row r="30" spans="2:16" ht="15">
      <c r="B30" s="43" t="s">
        <v>35</v>
      </c>
      <c r="C30" s="60">
        <v>0</v>
      </c>
      <c r="D30" s="39">
        <v>1970</v>
      </c>
      <c r="E30" s="39">
        <v>0</v>
      </c>
      <c r="F30" s="39">
        <v>3040</v>
      </c>
      <c r="G30" s="39">
        <v>381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53">
        <v>0</v>
      </c>
      <c r="P30" s="58"/>
    </row>
    <row r="31" spans="2:16" ht="15">
      <c r="B31" s="43" t="s">
        <v>36</v>
      </c>
      <c r="C31" s="60">
        <v>43472</v>
      </c>
      <c r="D31" s="39">
        <v>0</v>
      </c>
      <c r="E31" s="39">
        <v>0</v>
      </c>
      <c r="F31" s="39">
        <v>44</v>
      </c>
      <c r="G31" s="39">
        <v>47</v>
      </c>
      <c r="H31" s="39">
        <v>40</v>
      </c>
      <c r="I31" s="39">
        <v>62</v>
      </c>
      <c r="J31" s="39">
        <v>15</v>
      </c>
      <c r="K31" s="39">
        <v>21</v>
      </c>
      <c r="L31" s="39">
        <v>0</v>
      </c>
      <c r="M31" s="39">
        <v>24</v>
      </c>
      <c r="N31" s="39">
        <v>20</v>
      </c>
      <c r="O31" s="53">
        <v>0</v>
      </c>
      <c r="P31" s="58"/>
    </row>
    <row r="32" spans="2:16" s="37" customFormat="1" ht="15.75" thickBot="1">
      <c r="B32" s="35" t="s">
        <v>45</v>
      </c>
      <c r="C32" s="61">
        <v>0</v>
      </c>
      <c r="D32" s="36">
        <v>6567</v>
      </c>
      <c r="E32" s="36">
        <v>4653</v>
      </c>
      <c r="F32" s="36">
        <v>5004</v>
      </c>
      <c r="G32" s="36">
        <v>35643</v>
      </c>
      <c r="H32" s="36">
        <v>78687</v>
      </c>
      <c r="I32" s="36">
        <v>25500</v>
      </c>
      <c r="J32" s="36">
        <v>16725</v>
      </c>
      <c r="K32" s="36">
        <v>8350</v>
      </c>
      <c r="L32" s="36">
        <v>3050</v>
      </c>
      <c r="M32" s="36">
        <v>8180</v>
      </c>
      <c r="N32" s="36">
        <v>3077</v>
      </c>
      <c r="O32" s="54">
        <v>0</v>
      </c>
      <c r="P32" s="95"/>
    </row>
    <row r="33" spans="2:16" ht="15.75" thickBot="1">
      <c r="B33" s="19" t="s">
        <v>47</v>
      </c>
      <c r="C33" s="20">
        <f>SUM(C5:C32)</f>
        <v>180371</v>
      </c>
      <c r="D33" s="3">
        <f aca="true" t="shared" si="1" ref="D33:O33">SUM(D5:D32)</f>
        <v>246468</v>
      </c>
      <c r="E33" s="20">
        <f t="shared" si="1"/>
        <v>295633</v>
      </c>
      <c r="F33" s="3">
        <f t="shared" si="1"/>
        <v>327198</v>
      </c>
      <c r="G33" s="20">
        <f t="shared" si="1"/>
        <v>310599</v>
      </c>
      <c r="H33" s="3">
        <f t="shared" si="1"/>
        <v>327834</v>
      </c>
      <c r="I33" s="20">
        <f t="shared" si="1"/>
        <v>315625</v>
      </c>
      <c r="J33" s="3">
        <f t="shared" si="1"/>
        <v>284531</v>
      </c>
      <c r="K33" s="20">
        <f t="shared" si="1"/>
        <v>267253</v>
      </c>
      <c r="L33" s="3">
        <f t="shared" si="1"/>
        <v>270612</v>
      </c>
      <c r="M33" s="20">
        <f t="shared" si="1"/>
        <v>305945</v>
      </c>
      <c r="N33" s="3">
        <f t="shared" si="1"/>
        <v>272724</v>
      </c>
      <c r="O33" s="21">
        <f t="shared" si="1"/>
        <v>254228</v>
      </c>
      <c r="P33" s="96">
        <v>269398</v>
      </c>
    </row>
    <row r="34" spans="3:15" ht="15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6" ht="15">
      <c r="A36" t="s">
        <v>15</v>
      </c>
    </row>
    <row r="37" ht="15">
      <c r="A37" t="s">
        <v>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.75" thickBot="1"/>
    <row r="3" spans="2:3" ht="15.75" thickBot="1">
      <c r="B3" s="3"/>
      <c r="C3" s="114">
        <v>2014</v>
      </c>
    </row>
    <row r="4" spans="2:4" ht="15">
      <c r="B4" s="108" t="s">
        <v>43</v>
      </c>
      <c r="C4" s="115">
        <v>11878</v>
      </c>
      <c r="D4" t="s">
        <v>5</v>
      </c>
    </row>
    <row r="5" spans="2:3" ht="15">
      <c r="B5" s="42" t="s">
        <v>27</v>
      </c>
      <c r="C5" s="116">
        <v>1706</v>
      </c>
    </row>
    <row r="6" spans="2:3" ht="15">
      <c r="B6" s="42" t="s">
        <v>28</v>
      </c>
      <c r="C6" s="116">
        <v>3450</v>
      </c>
    </row>
    <row r="7" spans="2:3" ht="15">
      <c r="B7" s="43" t="s">
        <v>46</v>
      </c>
      <c r="C7" s="116">
        <v>200512</v>
      </c>
    </row>
    <row r="8" spans="2:3" ht="15">
      <c r="B8" s="113" t="s">
        <v>4</v>
      </c>
      <c r="C8" s="116">
        <v>41326</v>
      </c>
    </row>
    <row r="9" spans="2:3" ht="15">
      <c r="B9" s="43" t="s">
        <v>19</v>
      </c>
      <c r="C9" s="111">
        <v>6462</v>
      </c>
    </row>
    <row r="10" spans="2:3" ht="15">
      <c r="B10" s="43" t="s">
        <v>44</v>
      </c>
      <c r="C10" s="111">
        <v>2849</v>
      </c>
    </row>
    <row r="11" spans="2:3" ht="15.75" thickBot="1">
      <c r="B11" s="35" t="s">
        <v>54</v>
      </c>
      <c r="C11" s="112">
        <v>1215</v>
      </c>
    </row>
    <row r="13" ht="15">
      <c r="A13" t="s">
        <v>15</v>
      </c>
    </row>
    <row r="14" ht="15">
      <c r="A14" t="s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21">
      <selection activeCell="D51" sqref="D51:R52"/>
    </sheetView>
  </sheetViews>
  <sheetFormatPr defaultColWidth="9.140625" defaultRowHeight="15"/>
  <cols>
    <col min="2" max="2" width="18.57421875" style="0" customWidth="1"/>
  </cols>
  <sheetData>
    <row r="1" ht="15">
      <c r="A1" t="s">
        <v>51</v>
      </c>
    </row>
    <row r="2" ht="15.75" thickBot="1"/>
    <row r="3" spans="2:16" ht="15.75" thickBot="1">
      <c r="B3" s="7"/>
      <c r="C3" s="63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12">
        <v>2013</v>
      </c>
      <c r="P3" s="97">
        <v>2014</v>
      </c>
    </row>
    <row r="4" spans="2:17" ht="15.75" thickBot="1">
      <c r="B4" s="3" t="s">
        <v>52</v>
      </c>
      <c r="C4" s="64">
        <v>17.384042622787224</v>
      </c>
      <c r="D4" s="8">
        <v>15.567357284862256</v>
      </c>
      <c r="E4" s="8">
        <v>14.675565921260482</v>
      </c>
      <c r="F4" s="8">
        <v>16.24099682192337</v>
      </c>
      <c r="G4" s="8">
        <v>14.776683673469387</v>
      </c>
      <c r="H4" s="8">
        <v>15.519523176222258</v>
      </c>
      <c r="I4" s="8">
        <v>23.16060752282765</v>
      </c>
      <c r="J4" s="8">
        <v>28.945428809413354</v>
      </c>
      <c r="K4" s="8">
        <v>20.18720152213608</v>
      </c>
      <c r="L4" s="8">
        <v>26.320852807709933</v>
      </c>
      <c r="M4" s="8">
        <v>35.29026305467667</v>
      </c>
      <c r="N4" s="8">
        <v>35.210417117397924</v>
      </c>
      <c r="O4" s="62">
        <v>33.621407611367886</v>
      </c>
      <c r="P4" s="65">
        <v>24.6</v>
      </c>
      <c r="Q4" t="s">
        <v>7</v>
      </c>
    </row>
    <row r="5" spans="8:15" ht="15">
      <c r="H5" s="38"/>
      <c r="J5" s="38"/>
      <c r="O5" s="38"/>
    </row>
    <row r="6" spans="1:16" ht="15">
      <c r="A6" t="s">
        <v>15</v>
      </c>
      <c r="P6" s="38"/>
    </row>
    <row r="8" ht="15">
      <c r="A8" t="s">
        <v>53</v>
      </c>
    </row>
    <row r="9" ht="15.75" thickBot="1"/>
    <row r="10" spans="2:16" ht="15.75" thickBot="1">
      <c r="B10" s="3"/>
      <c r="C10" s="20">
        <v>2001</v>
      </c>
      <c r="D10" s="3">
        <v>2002</v>
      </c>
      <c r="E10" s="20">
        <v>2003</v>
      </c>
      <c r="F10" s="3">
        <v>2004</v>
      </c>
      <c r="G10" s="20">
        <v>2005</v>
      </c>
      <c r="H10" s="3">
        <v>2006</v>
      </c>
      <c r="I10" s="20">
        <v>2007</v>
      </c>
      <c r="J10" s="3">
        <v>2008</v>
      </c>
      <c r="K10" s="20">
        <v>2009</v>
      </c>
      <c r="L10" s="3">
        <v>2010</v>
      </c>
      <c r="M10" s="20">
        <v>2011</v>
      </c>
      <c r="N10" s="3">
        <v>2012</v>
      </c>
      <c r="O10" s="20">
        <v>2013</v>
      </c>
      <c r="P10" s="102">
        <v>2014</v>
      </c>
    </row>
    <row r="11" spans="2:17" ht="15">
      <c r="B11" s="14" t="s">
        <v>17</v>
      </c>
      <c r="C11" s="26"/>
      <c r="D11" s="18"/>
      <c r="E11" s="26"/>
      <c r="F11" s="24">
        <v>14.926145821935295</v>
      </c>
      <c r="G11" s="32">
        <v>14.156241426611796</v>
      </c>
      <c r="H11" s="18"/>
      <c r="I11" s="26"/>
      <c r="J11" s="18"/>
      <c r="K11" s="26"/>
      <c r="L11" s="18"/>
      <c r="M11" s="26"/>
      <c r="N11" s="18"/>
      <c r="O11" s="26"/>
      <c r="P11" s="103"/>
      <c r="Q11" t="s">
        <v>7</v>
      </c>
    </row>
    <row r="12" spans="2:16" ht="15">
      <c r="B12" s="15" t="s">
        <v>18</v>
      </c>
      <c r="C12" s="27"/>
      <c r="D12" s="15"/>
      <c r="E12" s="27"/>
      <c r="F12" s="15"/>
      <c r="G12" s="27"/>
      <c r="H12" s="15"/>
      <c r="I12" s="27"/>
      <c r="J12" s="15"/>
      <c r="K12" s="27"/>
      <c r="L12" s="15"/>
      <c r="M12" s="27"/>
      <c r="N12" s="23">
        <v>37.5221958827199</v>
      </c>
      <c r="O12" s="28">
        <v>41.053743902439024</v>
      </c>
      <c r="P12" s="104"/>
    </row>
    <row r="13" spans="2:16" ht="15">
      <c r="B13" s="15" t="s">
        <v>0</v>
      </c>
      <c r="C13" s="27"/>
      <c r="D13" s="15"/>
      <c r="E13" s="27"/>
      <c r="F13" s="23">
        <v>17.06519108726085</v>
      </c>
      <c r="G13" s="27"/>
      <c r="H13" s="15"/>
      <c r="I13" s="27"/>
      <c r="J13" s="15"/>
      <c r="K13" s="27"/>
      <c r="L13" s="15"/>
      <c r="M13" s="27"/>
      <c r="N13" s="15"/>
      <c r="O13" s="27"/>
      <c r="P13" s="104"/>
    </row>
    <row r="14" spans="2:16" ht="15">
      <c r="B14" s="15" t="s">
        <v>19</v>
      </c>
      <c r="C14" s="28">
        <v>16.22496929089894</v>
      </c>
      <c r="D14" s="23">
        <v>15.599692710408013</v>
      </c>
      <c r="E14" s="28">
        <v>16.49072056239016</v>
      </c>
      <c r="F14" s="23">
        <v>16.98849179176543</v>
      </c>
      <c r="G14" s="28">
        <v>14.934217689418738</v>
      </c>
      <c r="H14" s="23">
        <v>15.373627890921643</v>
      </c>
      <c r="I14" s="28">
        <v>31.48901785714286</v>
      </c>
      <c r="J14" s="23">
        <v>32.210304309505034</v>
      </c>
      <c r="K14" s="28">
        <v>23.70246205733558</v>
      </c>
      <c r="L14" s="23">
        <v>28.147708333333334</v>
      </c>
      <c r="M14" s="28">
        <v>37.95861386138614</v>
      </c>
      <c r="N14" s="23">
        <v>35.06631092704683</v>
      </c>
      <c r="O14" s="28">
        <v>36.00526683842473</v>
      </c>
      <c r="P14" s="117">
        <v>26.296545961002785</v>
      </c>
    </row>
    <row r="15" spans="2:16" ht="15">
      <c r="B15" s="15" t="s">
        <v>20</v>
      </c>
      <c r="C15" s="28">
        <v>10.325976213212952</v>
      </c>
      <c r="D15" s="15"/>
      <c r="E15" s="27"/>
      <c r="F15" s="15"/>
      <c r="G15" s="27"/>
      <c r="H15" s="15"/>
      <c r="I15" s="27"/>
      <c r="J15" s="15"/>
      <c r="K15" s="27"/>
      <c r="L15" s="15"/>
      <c r="M15" s="27"/>
      <c r="N15" s="15"/>
      <c r="O15" s="27"/>
      <c r="P15" s="104"/>
    </row>
    <row r="16" spans="2:16" ht="15">
      <c r="B16" s="15" t="s">
        <v>21</v>
      </c>
      <c r="C16" s="27"/>
      <c r="D16" s="15"/>
      <c r="E16" s="27"/>
      <c r="F16" s="23">
        <v>12.630764516129032</v>
      </c>
      <c r="G16" s="27"/>
      <c r="H16" s="15"/>
      <c r="I16" s="27"/>
      <c r="J16" s="15"/>
      <c r="K16" s="27"/>
      <c r="L16" s="15"/>
      <c r="M16" s="27"/>
      <c r="N16" s="15"/>
      <c r="O16" s="27"/>
      <c r="P16" s="104"/>
    </row>
    <row r="17" spans="2:16" ht="15">
      <c r="B17" s="15" t="s">
        <v>42</v>
      </c>
      <c r="C17" s="28">
        <v>16.20322976744186</v>
      </c>
      <c r="D17" s="23">
        <v>16.030996270068652</v>
      </c>
      <c r="E17" s="27"/>
      <c r="F17" s="23">
        <v>16.8150276892096</v>
      </c>
      <c r="G17" s="27"/>
      <c r="H17" s="15"/>
      <c r="I17" s="27"/>
      <c r="J17" s="23">
        <v>45.014146341463416</v>
      </c>
      <c r="K17" s="27"/>
      <c r="L17" s="15"/>
      <c r="M17" s="28">
        <v>44.16879471228616</v>
      </c>
      <c r="N17" s="15"/>
      <c r="O17" s="27"/>
      <c r="P17" s="104"/>
    </row>
    <row r="18" spans="2:16" ht="15">
      <c r="B18" s="98" t="s">
        <v>43</v>
      </c>
      <c r="C18" s="99">
        <v>18.82662939743641</v>
      </c>
      <c r="D18" s="100">
        <v>14.722284695556775</v>
      </c>
      <c r="E18" s="99">
        <v>16.00905882352941</v>
      </c>
      <c r="F18" s="100">
        <v>14.79246750177263</v>
      </c>
      <c r="G18" s="101"/>
      <c r="H18" s="98"/>
      <c r="I18" s="99">
        <v>19.597832817337462</v>
      </c>
      <c r="J18" s="100">
        <v>28.235880441845353</v>
      </c>
      <c r="K18" s="99">
        <v>22.17731628050318</v>
      </c>
      <c r="L18" s="100">
        <v>29.240559812494364</v>
      </c>
      <c r="M18" s="99">
        <v>38.01767891464104</v>
      </c>
      <c r="N18" s="100">
        <v>35.70749114289463</v>
      </c>
      <c r="O18" s="99">
        <v>31.827492408659026</v>
      </c>
      <c r="P18" s="105">
        <v>26.800693719481394</v>
      </c>
    </row>
    <row r="19" spans="2:16" ht="15">
      <c r="B19" s="98" t="s">
        <v>22</v>
      </c>
      <c r="C19" s="101"/>
      <c r="D19" s="98"/>
      <c r="E19" s="99">
        <v>14.369856437290478</v>
      </c>
      <c r="F19" s="98"/>
      <c r="G19" s="101"/>
      <c r="H19" s="98"/>
      <c r="I19" s="101"/>
      <c r="J19" s="98"/>
      <c r="K19" s="101"/>
      <c r="L19" s="98"/>
      <c r="M19" s="101"/>
      <c r="N19" s="98"/>
      <c r="O19" s="101"/>
      <c r="P19" s="106"/>
    </row>
    <row r="20" spans="2:16" ht="15">
      <c r="B20" s="98" t="s">
        <v>44</v>
      </c>
      <c r="C20" s="99">
        <v>16.936975004561212</v>
      </c>
      <c r="D20" s="98"/>
      <c r="E20" s="99">
        <v>13.280962031703318</v>
      </c>
      <c r="F20" s="100">
        <v>14.937318520595314</v>
      </c>
      <c r="G20" s="101"/>
      <c r="H20" s="100">
        <v>15.8922</v>
      </c>
      <c r="I20" s="101"/>
      <c r="J20" s="100">
        <v>31.672154385964912</v>
      </c>
      <c r="K20" s="101"/>
      <c r="L20" s="100">
        <v>34.84757811079656</v>
      </c>
      <c r="M20" s="99">
        <v>42.29463941360648</v>
      </c>
      <c r="N20" s="100">
        <v>37.38908412105807</v>
      </c>
      <c r="O20" s="99">
        <v>41.429002502825774</v>
      </c>
      <c r="P20" s="105">
        <v>41.318244998245</v>
      </c>
    </row>
    <row r="21" spans="2:16" ht="15">
      <c r="B21" s="98" t="s">
        <v>23</v>
      </c>
      <c r="C21" s="101"/>
      <c r="D21" s="98"/>
      <c r="E21" s="99">
        <v>14.577166841552991</v>
      </c>
      <c r="F21" s="98"/>
      <c r="G21" s="101"/>
      <c r="H21" s="98"/>
      <c r="I21" s="101"/>
      <c r="J21" s="98"/>
      <c r="K21" s="99">
        <v>25.951519615211183</v>
      </c>
      <c r="L21" s="98"/>
      <c r="M21" s="99">
        <v>45.00012296609117</v>
      </c>
      <c r="N21" s="98"/>
      <c r="O21" s="101"/>
      <c r="P21" s="106"/>
    </row>
    <row r="22" spans="2:16" ht="15">
      <c r="B22" s="98" t="s">
        <v>24</v>
      </c>
      <c r="C22" s="99">
        <v>22.073846153846155</v>
      </c>
      <c r="D22" s="100">
        <v>16.800315457413248</v>
      </c>
      <c r="E22" s="99">
        <v>19.65483870967742</v>
      </c>
      <c r="F22" s="100">
        <v>17.864545454545453</v>
      </c>
      <c r="G22" s="99">
        <v>17.05327358490566</v>
      </c>
      <c r="H22" s="100">
        <v>24.525</v>
      </c>
      <c r="I22" s="99">
        <v>33.12884894837476</v>
      </c>
      <c r="J22" s="100">
        <v>34.472830601092895</v>
      </c>
      <c r="K22" s="99">
        <v>28.288936170212764</v>
      </c>
      <c r="L22" s="100">
        <v>26.994805194805195</v>
      </c>
      <c r="M22" s="99">
        <v>43.59444444444444</v>
      </c>
      <c r="N22" s="100">
        <v>38.635714285714286</v>
      </c>
      <c r="O22" s="99">
        <v>45.22714285714286</v>
      </c>
      <c r="P22" s="106"/>
    </row>
    <row r="23" spans="2:16" ht="15">
      <c r="B23" s="98" t="s">
        <v>25</v>
      </c>
      <c r="C23" s="99">
        <v>17.547821013419505</v>
      </c>
      <c r="D23" s="100">
        <v>14.93274139844617</v>
      </c>
      <c r="E23" s="99">
        <v>14.55583415597236</v>
      </c>
      <c r="F23" s="100">
        <v>18.32731666666667</v>
      </c>
      <c r="G23" s="99">
        <v>19.65800220750552</v>
      </c>
      <c r="H23" s="98"/>
      <c r="I23" s="99">
        <v>34.06196666666666</v>
      </c>
      <c r="J23" s="100">
        <v>31.359708894062422</v>
      </c>
      <c r="K23" s="99">
        <v>23.722687065368568</v>
      </c>
      <c r="L23" s="100">
        <v>28.305195597203628</v>
      </c>
      <c r="M23" s="99">
        <v>42.12103797019162</v>
      </c>
      <c r="N23" s="100">
        <v>37.144082278481015</v>
      </c>
      <c r="O23" s="99">
        <v>35.130147872084635</v>
      </c>
      <c r="P23" s="105">
        <v>28.735703703703706</v>
      </c>
    </row>
    <row r="24" spans="2:16" ht="15">
      <c r="B24" s="98" t="s">
        <v>26</v>
      </c>
      <c r="C24" s="99"/>
      <c r="D24" s="98"/>
      <c r="E24" s="99">
        <v>13.750938947368422</v>
      </c>
      <c r="F24" s="100"/>
      <c r="G24" s="101"/>
      <c r="H24" s="98"/>
      <c r="I24" s="101"/>
      <c r="J24" s="98"/>
      <c r="K24" s="101"/>
      <c r="L24" s="98"/>
      <c r="M24" s="99"/>
      <c r="N24" s="98"/>
      <c r="O24" s="101"/>
      <c r="P24" s="106"/>
    </row>
    <row r="25" spans="2:16" ht="15">
      <c r="B25" s="98" t="s">
        <v>27</v>
      </c>
      <c r="C25" s="99">
        <v>26.76865671641791</v>
      </c>
      <c r="D25" s="100">
        <v>18.7773786407767</v>
      </c>
      <c r="E25" s="99">
        <v>17.62054794520548</v>
      </c>
      <c r="F25" s="100">
        <v>13.45797619047619</v>
      </c>
      <c r="G25" s="99">
        <v>17.262788971367975</v>
      </c>
      <c r="H25" s="100">
        <v>24.542043085476024</v>
      </c>
      <c r="I25" s="99">
        <v>36.70850897736144</v>
      </c>
      <c r="J25" s="100">
        <v>36.98021627998427</v>
      </c>
      <c r="K25" s="99">
        <v>28.417318096036905</v>
      </c>
      <c r="L25" s="100">
        <v>29.377380809894277</v>
      </c>
      <c r="M25" s="99">
        <v>42.155725190839696</v>
      </c>
      <c r="N25" s="100">
        <v>51.152058947368424</v>
      </c>
      <c r="O25" s="99">
        <v>42.08511022044088</v>
      </c>
      <c r="P25" s="105">
        <v>45.567854630715125</v>
      </c>
    </row>
    <row r="26" spans="2:16" ht="15">
      <c r="B26" s="98" t="s">
        <v>1</v>
      </c>
      <c r="C26" s="99"/>
      <c r="D26" s="98"/>
      <c r="E26" s="99">
        <v>14.056409302325582</v>
      </c>
      <c r="F26" s="98"/>
      <c r="G26" s="101"/>
      <c r="H26" s="100">
        <v>20.058339721826744</v>
      </c>
      <c r="I26" s="99">
        <v>20.87141688794477</v>
      </c>
      <c r="J26" s="100">
        <v>31.12360289078562</v>
      </c>
      <c r="K26" s="101"/>
      <c r="L26" s="100">
        <v>35.1543225</v>
      </c>
      <c r="M26" s="99">
        <v>35.68782900251467</v>
      </c>
      <c r="N26" s="100">
        <v>34.091106537530266</v>
      </c>
      <c r="O26" s="99">
        <v>36.395688940474216</v>
      </c>
      <c r="P26" s="105"/>
    </row>
    <row r="27" spans="2:16" ht="15">
      <c r="B27" s="98" t="s">
        <v>28</v>
      </c>
      <c r="C27" s="99">
        <v>17.659076923076924</v>
      </c>
      <c r="D27" s="98"/>
      <c r="E27" s="99"/>
      <c r="F27" s="98"/>
      <c r="G27" s="101"/>
      <c r="H27" s="100">
        <v>32.7</v>
      </c>
      <c r="I27" s="99">
        <v>25.837142857142858</v>
      </c>
      <c r="J27" s="100">
        <v>33.95547619047619</v>
      </c>
      <c r="K27" s="101"/>
      <c r="L27" s="100">
        <v>33.068636363636365</v>
      </c>
      <c r="M27" s="99">
        <v>35.3115</v>
      </c>
      <c r="N27" s="100">
        <v>43.272</v>
      </c>
      <c r="O27" s="101"/>
      <c r="P27" s="105">
        <v>18.680660869565216</v>
      </c>
    </row>
    <row r="28" spans="2:16" ht="15">
      <c r="B28" s="98" t="s">
        <v>2</v>
      </c>
      <c r="C28" s="101"/>
      <c r="D28" s="98"/>
      <c r="E28" s="99">
        <v>14.056409302325582</v>
      </c>
      <c r="F28" s="98"/>
      <c r="G28" s="101"/>
      <c r="H28" s="98"/>
      <c r="I28" s="101"/>
      <c r="J28" s="98"/>
      <c r="K28" s="101"/>
      <c r="L28" s="98"/>
      <c r="M28" s="101"/>
      <c r="N28" s="98"/>
      <c r="O28" s="101"/>
      <c r="P28" s="105"/>
    </row>
    <row r="29" spans="2:16" ht="15">
      <c r="B29" s="98" t="s">
        <v>29</v>
      </c>
      <c r="C29" s="101"/>
      <c r="D29" s="98"/>
      <c r="E29" s="99"/>
      <c r="F29" s="100">
        <v>13.47090909090909</v>
      </c>
      <c r="G29" s="101"/>
      <c r="H29" s="98"/>
      <c r="I29" s="101"/>
      <c r="J29" s="98"/>
      <c r="K29" s="101"/>
      <c r="L29" s="98"/>
      <c r="M29" s="101"/>
      <c r="N29" s="98"/>
      <c r="O29" s="101"/>
      <c r="P29" s="105"/>
    </row>
    <row r="30" spans="2:16" ht="15">
      <c r="B30" s="98" t="s">
        <v>30</v>
      </c>
      <c r="C30" s="101"/>
      <c r="D30" s="100">
        <v>16.17299419597132</v>
      </c>
      <c r="E30" s="99"/>
      <c r="F30" s="100"/>
      <c r="G30" s="101"/>
      <c r="H30" s="100">
        <v>20.109800285306704</v>
      </c>
      <c r="I30" s="99">
        <v>20.24282478347768</v>
      </c>
      <c r="J30" s="98"/>
      <c r="K30" s="101"/>
      <c r="L30" s="100">
        <v>32.67182943493288</v>
      </c>
      <c r="M30" s="101"/>
      <c r="N30" s="98"/>
      <c r="O30" s="101"/>
      <c r="P30" s="105"/>
    </row>
    <row r="31" spans="2:16" ht="15">
      <c r="B31" s="98" t="s">
        <v>3</v>
      </c>
      <c r="C31" s="101"/>
      <c r="D31" s="100"/>
      <c r="E31" s="99"/>
      <c r="F31" s="100"/>
      <c r="G31" s="101"/>
      <c r="H31" s="100">
        <v>18.946222450025626</v>
      </c>
      <c r="I31" s="99"/>
      <c r="J31" s="100">
        <v>28.52790298651874</v>
      </c>
      <c r="K31" s="101"/>
      <c r="L31" s="100">
        <v>34.28922771152754</v>
      </c>
      <c r="M31" s="101"/>
      <c r="N31" s="98"/>
      <c r="O31" s="99">
        <v>38.33652575957728</v>
      </c>
      <c r="P31" s="105"/>
    </row>
    <row r="32" spans="2:18" ht="15">
      <c r="B32" s="98" t="s">
        <v>46</v>
      </c>
      <c r="C32" s="99">
        <v>15.901054443727135</v>
      </c>
      <c r="D32" s="100">
        <v>15.603551024619234</v>
      </c>
      <c r="E32" s="99">
        <v>14.84907358769135</v>
      </c>
      <c r="F32" s="100">
        <v>17.221084467833027</v>
      </c>
      <c r="G32" s="99">
        <v>14.675057900858677</v>
      </c>
      <c r="H32" s="100">
        <v>15.365619231179979</v>
      </c>
      <c r="I32" s="99">
        <v>23.378390994979643</v>
      </c>
      <c r="J32" s="100">
        <v>25.19283239243084</v>
      </c>
      <c r="K32" s="99">
        <v>18.772440593839526</v>
      </c>
      <c r="L32" s="100">
        <v>22.912306044658383</v>
      </c>
      <c r="M32" s="99">
        <v>28.70979034561935</v>
      </c>
      <c r="N32" s="100">
        <v>34.819032073997</v>
      </c>
      <c r="O32" s="99">
        <v>32.11594033314798</v>
      </c>
      <c r="P32" s="105">
        <v>24.002234080753272</v>
      </c>
      <c r="R32" s="38"/>
    </row>
    <row r="33" spans="2:16" ht="15">
      <c r="B33" s="98" t="s">
        <v>4</v>
      </c>
      <c r="C33" s="99"/>
      <c r="D33" s="100"/>
      <c r="E33" s="99"/>
      <c r="F33" s="100"/>
      <c r="G33" s="99"/>
      <c r="H33" s="100">
        <v>19.70662251655629</v>
      </c>
      <c r="I33" s="99">
        <v>20.44391922080243</v>
      </c>
      <c r="J33" s="100">
        <v>28.452397609032545</v>
      </c>
      <c r="K33" s="99">
        <v>24.479981455725543</v>
      </c>
      <c r="L33" s="100">
        <v>31.906576750160564</v>
      </c>
      <c r="M33" s="99">
        <v>42.03519088162593</v>
      </c>
      <c r="N33" s="100">
        <v>35.24450883392226</v>
      </c>
      <c r="O33" s="99">
        <v>33.70830558511551</v>
      </c>
      <c r="P33" s="105">
        <v>24.992986497604413</v>
      </c>
    </row>
    <row r="34" spans="2:16" ht="15">
      <c r="B34" s="16" t="s">
        <v>32</v>
      </c>
      <c r="C34" s="28"/>
      <c r="D34" s="23">
        <v>15.35843511823334</v>
      </c>
      <c r="E34" s="28"/>
      <c r="F34" s="23">
        <v>16.19462898035637</v>
      </c>
      <c r="G34" s="28">
        <v>14.958883116883117</v>
      </c>
      <c r="H34" s="23"/>
      <c r="I34" s="28"/>
      <c r="J34" s="23"/>
      <c r="K34" s="28"/>
      <c r="L34" s="23"/>
      <c r="M34" s="28"/>
      <c r="N34" s="23"/>
      <c r="O34" s="27"/>
      <c r="P34" s="104"/>
    </row>
    <row r="35" spans="2:16" ht="15">
      <c r="B35" s="16" t="s">
        <v>33</v>
      </c>
      <c r="C35" s="28"/>
      <c r="D35" s="23"/>
      <c r="E35" s="28"/>
      <c r="F35" s="23"/>
      <c r="G35" s="28"/>
      <c r="H35" s="23"/>
      <c r="I35" s="28"/>
      <c r="J35" s="23">
        <v>36.91015890057977</v>
      </c>
      <c r="K35" s="28"/>
      <c r="L35" s="23"/>
      <c r="M35" s="28"/>
      <c r="N35" s="23"/>
      <c r="O35" s="27"/>
      <c r="P35" s="104"/>
    </row>
    <row r="36" spans="2:16" ht="15">
      <c r="B36" s="16" t="s">
        <v>34</v>
      </c>
      <c r="C36" s="28"/>
      <c r="D36" s="23"/>
      <c r="E36" s="28"/>
      <c r="F36" s="23"/>
      <c r="G36" s="28"/>
      <c r="H36" s="23"/>
      <c r="I36" s="28">
        <v>24.42371078806427</v>
      </c>
      <c r="J36" s="23"/>
      <c r="K36" s="28"/>
      <c r="L36" s="23"/>
      <c r="M36" s="28">
        <v>44.29988181818182</v>
      </c>
      <c r="N36" s="23"/>
      <c r="O36" s="27"/>
      <c r="P36" s="104"/>
    </row>
    <row r="37" spans="2:16" ht="15">
      <c r="B37" s="16" t="s">
        <v>35</v>
      </c>
      <c r="C37" s="28"/>
      <c r="D37" s="23">
        <v>15.651269035532994</v>
      </c>
      <c r="E37" s="28"/>
      <c r="F37" s="23">
        <v>16.835348684210526</v>
      </c>
      <c r="G37" s="28">
        <v>16.776062992125983</v>
      </c>
      <c r="H37" s="23"/>
      <c r="I37" s="28"/>
      <c r="J37" s="23"/>
      <c r="K37" s="28"/>
      <c r="L37" s="23"/>
      <c r="M37" s="28"/>
      <c r="N37" s="23"/>
      <c r="O37" s="27"/>
      <c r="P37" s="104"/>
    </row>
    <row r="38" spans="2:16" ht="15">
      <c r="B38" s="16" t="s">
        <v>36</v>
      </c>
      <c r="C38" s="28">
        <v>20.152946264262052</v>
      </c>
      <c r="D38" s="23"/>
      <c r="E38" s="28"/>
      <c r="F38" s="23">
        <v>28.028181818181817</v>
      </c>
      <c r="G38" s="28">
        <v>38.24808510638298</v>
      </c>
      <c r="H38" s="23">
        <v>51.5025</v>
      </c>
      <c r="I38" s="28">
        <v>49.590645161290325</v>
      </c>
      <c r="J38" s="23">
        <v>61.519333333333336</v>
      </c>
      <c r="K38" s="28">
        <v>36.179047619047616</v>
      </c>
      <c r="L38" s="23"/>
      <c r="M38" s="28">
        <v>50.445</v>
      </c>
      <c r="N38" s="23">
        <v>54.09</v>
      </c>
      <c r="O38" s="27"/>
      <c r="P38" s="104"/>
    </row>
    <row r="39" spans="2:16" ht="15.75" thickBot="1">
      <c r="B39" s="17" t="s">
        <v>45</v>
      </c>
      <c r="C39" s="29"/>
      <c r="D39" s="30">
        <v>14.9817724988579</v>
      </c>
      <c r="E39" s="31">
        <v>15.870870406189555</v>
      </c>
      <c r="F39" s="30">
        <v>16.4711310951239</v>
      </c>
      <c r="G39" s="31">
        <v>14.247929467216565</v>
      </c>
      <c r="H39" s="30">
        <v>14.281082008463914</v>
      </c>
      <c r="I39" s="31">
        <v>20.830816470588235</v>
      </c>
      <c r="J39" s="30">
        <v>35.933510313901344</v>
      </c>
      <c r="K39" s="31">
        <v>19.187352095808382</v>
      </c>
      <c r="L39" s="30">
        <v>34.27986229508197</v>
      </c>
      <c r="M39" s="31">
        <v>39.18429462102689</v>
      </c>
      <c r="N39" s="30">
        <v>30.692603184920376</v>
      </c>
      <c r="O39" s="29"/>
      <c r="P39" s="107"/>
    </row>
    <row r="43" ht="15">
      <c r="A43" t="s">
        <v>49</v>
      </c>
    </row>
    <row r="44" ht="15">
      <c r="A44" t="s">
        <v>8</v>
      </c>
    </row>
    <row r="45" ht="15">
      <c r="A45" t="s">
        <v>15</v>
      </c>
    </row>
    <row r="46" ht="15">
      <c r="A4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2015-08-13T14:50:04Z</dcterms:modified>
  <cp:category/>
  <cp:version/>
  <cp:contentType/>
  <cp:contentStatus/>
</cp:coreProperties>
</file>